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A74AB6FE-5E08-427A-97EF-75DD3A0CB908}" xr6:coauthVersionLast="47" xr6:coauthVersionMax="47" xr10:uidLastSave="{00000000-0000-0000-0000-000000000000}"/>
  <bookViews>
    <workbookView xWindow="-120" yWindow="-120" windowWidth="29040" windowHeight="15840" tabRatio="715" activeTab="2" xr2:uid="{00000000-000D-0000-FFFF-FFFF00000000}"/>
  </bookViews>
  <sheets>
    <sheet name="0.封面" sheetId="6" r:id="rId1"/>
    <sheet name="1.荷载计算" sheetId="2" r:id="rId2"/>
    <sheet name="2.1.结构计算(承载)" sheetId="3" r:id="rId3"/>
    <sheet name="2.2.结构计算(正常) " sheetId="4" r:id="rId4"/>
    <sheet name="KS值表" sheetId="5" r:id="rId5"/>
    <sheet name="车道荷载" sheetId="1" state="hidden" r:id="rId6"/>
  </sheets>
  <functionGroups builtInGroupCount="19"/>
  <definedNames>
    <definedName name="_xlnm.Print_Area" localSheetId="0">'0.封面'!$A$1:$M$94</definedName>
    <definedName name="_xlnm.Print_Area" localSheetId="1">'1.荷载计算'!$A$1:$H$62</definedName>
  </definedNames>
  <calcPr calcId="191029"/>
</workbook>
</file>

<file path=xl/calcChain.xml><?xml version="1.0" encoding="utf-8"?>
<calcChain xmlns="http://schemas.openxmlformats.org/spreadsheetml/2006/main">
  <c r="D45" i="1" l="1"/>
  <c r="D44" i="1"/>
  <c r="D43" i="1"/>
  <c r="D40" i="1"/>
  <c r="D38" i="1"/>
  <c r="D35" i="1"/>
  <c r="D32" i="1"/>
  <c r="D30" i="1"/>
  <c r="D29" i="1"/>
  <c r="D26" i="1"/>
  <c r="D25" i="1"/>
  <c r="D24" i="1"/>
  <c r="D15" i="1"/>
  <c r="D14" i="1"/>
  <c r="D13" i="1"/>
  <c r="D11" i="1"/>
  <c r="D10" i="1"/>
  <c r="D9" i="1"/>
  <c r="D5" i="1"/>
  <c r="E50" i="4"/>
  <c r="E49" i="4"/>
  <c r="D49" i="4"/>
  <c r="C49" i="4"/>
  <c r="E48" i="4"/>
  <c r="E47" i="4"/>
  <c r="D47" i="4"/>
  <c r="C47" i="4"/>
  <c r="E46" i="4"/>
  <c r="E45" i="4"/>
  <c r="D45" i="4"/>
  <c r="C45" i="4"/>
  <c r="E44" i="4"/>
  <c r="D44" i="4"/>
  <c r="C44" i="4"/>
  <c r="D38" i="4"/>
  <c r="C38" i="4"/>
  <c r="B38" i="4"/>
  <c r="A38" i="4"/>
  <c r="D36" i="4"/>
  <c r="C36" i="4"/>
  <c r="B36" i="4"/>
  <c r="A36" i="4"/>
  <c r="D34" i="4"/>
  <c r="C34" i="4"/>
  <c r="B34" i="4"/>
  <c r="A34" i="4"/>
  <c r="G28" i="4"/>
  <c r="F28" i="4"/>
  <c r="E28" i="4"/>
  <c r="D28" i="4"/>
  <c r="C28" i="4"/>
  <c r="B28" i="4"/>
  <c r="F27" i="4"/>
  <c r="E27" i="4"/>
  <c r="E26" i="4"/>
  <c r="D26" i="4"/>
  <c r="C26" i="4"/>
  <c r="B26" i="4"/>
  <c r="G25" i="4"/>
  <c r="F25" i="4"/>
  <c r="E25" i="4"/>
  <c r="D25" i="4"/>
  <c r="E24" i="4"/>
  <c r="D24" i="4"/>
  <c r="C24" i="4"/>
  <c r="B24" i="4"/>
  <c r="G23" i="4"/>
  <c r="F23" i="4"/>
  <c r="E23" i="4"/>
  <c r="D23" i="4"/>
  <c r="E22" i="4"/>
  <c r="D22" i="4"/>
  <c r="C22" i="4"/>
  <c r="B22" i="4"/>
  <c r="G21" i="4"/>
  <c r="F21" i="4"/>
  <c r="E21" i="4"/>
  <c r="D21" i="4"/>
  <c r="G20" i="4"/>
  <c r="F20" i="4"/>
  <c r="E20" i="4"/>
  <c r="D20" i="4"/>
  <c r="C20" i="4"/>
  <c r="B20" i="4"/>
  <c r="F19" i="4"/>
  <c r="E19" i="4"/>
  <c r="D19" i="4"/>
  <c r="C19" i="4"/>
  <c r="F18" i="4"/>
  <c r="E18" i="4"/>
  <c r="D18" i="4"/>
  <c r="C18" i="4"/>
  <c r="C11" i="4"/>
  <c r="C10" i="4"/>
  <c r="C9" i="4"/>
  <c r="C8" i="4"/>
  <c r="C7" i="4"/>
  <c r="C6" i="4"/>
  <c r="C5" i="4"/>
  <c r="C4" i="4"/>
  <c r="C3" i="4"/>
  <c r="C2" i="4"/>
  <c r="E71" i="3"/>
  <c r="E70" i="3"/>
  <c r="D68" i="3"/>
  <c r="C68" i="3"/>
  <c r="D55" i="3"/>
  <c r="A55" i="3"/>
  <c r="E50" i="3"/>
  <c r="E49" i="3"/>
  <c r="D47" i="3"/>
  <c r="C47" i="3"/>
  <c r="D34" i="3"/>
  <c r="A34" i="3"/>
  <c r="G20" i="3"/>
  <c r="F20" i="3"/>
  <c r="E20" i="3"/>
  <c r="D20" i="3"/>
  <c r="C20" i="3"/>
  <c r="B20" i="3"/>
  <c r="D19" i="3"/>
  <c r="C19" i="3"/>
  <c r="F18" i="3"/>
  <c r="E18" i="3"/>
  <c r="F19" i="3" s="1"/>
  <c r="D18" i="3"/>
  <c r="C18" i="3"/>
  <c r="C12" i="3"/>
  <c r="C11" i="3"/>
  <c r="C10" i="3"/>
  <c r="C9" i="3"/>
  <c r="C8" i="3"/>
  <c r="C7" i="3"/>
  <c r="E6" i="3"/>
  <c r="C6" i="3"/>
  <c r="E5" i="3"/>
  <c r="C5" i="3"/>
  <c r="C4" i="3"/>
  <c r="E3" i="3"/>
  <c r="C3" i="3"/>
  <c r="E60" i="2"/>
  <c r="D60" i="2"/>
  <c r="E58" i="2"/>
  <c r="D58" i="2"/>
  <c r="E57" i="2"/>
  <c r="D57" i="2"/>
  <c r="E54" i="2"/>
  <c r="D54" i="2"/>
  <c r="E53" i="2"/>
  <c r="D53" i="2"/>
  <c r="E51" i="2"/>
  <c r="D51" i="2"/>
  <c r="E49" i="2"/>
  <c r="D49" i="2"/>
  <c r="E47" i="2"/>
  <c r="D47" i="2"/>
  <c r="E44" i="2"/>
  <c r="D44" i="2"/>
  <c r="E41" i="2"/>
  <c r="D41" i="2"/>
  <c r="E39" i="2"/>
  <c r="D39" i="2"/>
  <c r="E38" i="2"/>
  <c r="D38" i="2"/>
  <c r="E37" i="2"/>
  <c r="D37" i="2"/>
  <c r="E36" i="2"/>
  <c r="D36" i="2"/>
  <c r="E30" i="2"/>
  <c r="D30" i="2"/>
  <c r="E27" i="2"/>
  <c r="D27" i="2"/>
  <c r="E25" i="2"/>
  <c r="D25" i="2"/>
  <c r="E24" i="2"/>
  <c r="D24" i="2"/>
  <c r="E22" i="2"/>
  <c r="D22" i="2"/>
  <c r="D10" i="2"/>
  <c r="F21" i="3" l="1"/>
  <c r="E19" i="3"/>
  <c r="E21" i="3" l="1"/>
  <c r="G21" i="3"/>
  <c r="D21" i="3" l="1"/>
  <c r="C22" i="3" l="1"/>
  <c r="D22" i="3"/>
  <c r="E22" i="3" s="1"/>
  <c r="F23" i="3" l="1"/>
  <c r="E23" i="3"/>
  <c r="D23" i="3" s="1"/>
  <c r="B22" i="3"/>
  <c r="D24" i="3" l="1"/>
  <c r="E24" i="3" s="1"/>
  <c r="C24" i="3"/>
  <c r="G23" i="3"/>
  <c r="B24" i="3" l="1"/>
  <c r="F25" i="3"/>
  <c r="E25" i="3"/>
  <c r="D25" i="3" s="1"/>
  <c r="D26" i="3" l="1"/>
  <c r="E26" i="3" s="1"/>
  <c r="C26" i="3"/>
  <c r="D28" i="3"/>
  <c r="G25" i="3"/>
  <c r="G28" i="3" s="1"/>
  <c r="D57" i="3" l="1"/>
  <c r="D36" i="3"/>
  <c r="C44" i="3"/>
  <c r="C65" i="3"/>
  <c r="B26" i="3"/>
  <c r="B28" i="3" s="1"/>
  <c r="C28" i="3"/>
  <c r="F27" i="3"/>
  <c r="F28" i="3" s="1"/>
  <c r="E27" i="3"/>
  <c r="E28" i="3" s="1"/>
  <c r="C55" i="3" l="1"/>
  <c r="B55" i="3"/>
  <c r="C34" i="3"/>
  <c r="B34" i="3"/>
  <c r="C57" i="3"/>
  <c r="C66" i="3" s="1"/>
  <c r="C36" i="3"/>
  <c r="C45" i="3" s="1"/>
  <c r="A57" i="3"/>
  <c r="D66" i="3" s="1"/>
  <c r="A36" i="3"/>
  <c r="D45" i="3" s="1"/>
  <c r="D44" i="3"/>
  <c r="B57" i="3"/>
  <c r="B36" i="3"/>
  <c r="D65" i="3"/>
  <c r="C49" i="3" l="1"/>
  <c r="E47" i="3"/>
  <c r="D70" i="3"/>
  <c r="E69" i="3"/>
  <c r="C38" i="3"/>
  <c r="D38" i="3" s="1"/>
  <c r="E44" i="3" s="1"/>
  <c r="D49" i="3"/>
  <c r="E48" i="3"/>
  <c r="C59" i="3"/>
  <c r="D59" i="3" s="1"/>
  <c r="E65" i="3" s="1"/>
  <c r="A59" i="3"/>
  <c r="E66" i="3" s="1"/>
  <c r="A38" i="3"/>
  <c r="E45" i="3" s="1"/>
  <c r="B59" i="3"/>
  <c r="E67" i="3" s="1"/>
  <c r="B38" i="3"/>
  <c r="E46" i="3" s="1"/>
  <c r="C70" i="3"/>
  <c r="E68" i="3"/>
</calcChain>
</file>

<file path=xl/sharedStrings.xml><?xml version="1.0" encoding="utf-8"?>
<sst xmlns="http://schemas.openxmlformats.org/spreadsheetml/2006/main" count="463" uniqueCount="269">
  <si>
    <t>模板编号：str-0011</t>
  </si>
  <si>
    <t>版本号：v0.0.1</t>
  </si>
  <si>
    <t>!#工程名称：</t>
  </si>
  <si>
    <t>XX工程</t>
  </si>
  <si>
    <t>!#设计阶段：</t>
  </si>
  <si>
    <t>项目建议书</t>
  </si>
  <si>
    <t>单孔箱涵结构内力计算</t>
  </si>
  <si>
    <t>核定者：                   年     月     日</t>
  </si>
  <si>
    <t>审查者：                   年     月     日</t>
  </si>
  <si>
    <t>校核者：                   年     月     日</t>
  </si>
  <si>
    <t>设计者：                   年     月     日</t>
  </si>
  <si>
    <t>模板编制：秦晓川</t>
  </si>
  <si>
    <t>模板修订：</t>
  </si>
  <si>
    <t>!#设计单位：</t>
  </si>
  <si>
    <t xml:space="preserve"> XX设计院</t>
  </si>
  <si>
    <t>!#日期：</t>
  </si>
  <si>
    <t>202X年X月X日</t>
  </si>
  <si>
    <t>目    录</t>
  </si>
  <si>
    <t>1 计算依据.........................................................3</t>
  </si>
  <si>
    <t>2 计算参数.........................................................3</t>
  </si>
  <si>
    <t>3 计算过程及结果...................................................7</t>
  </si>
  <si>
    <t>说明：</t>
  </si>
  <si>
    <t>1、箱涵的底板厚度一般约为d1=(1/10~1/6)B;顶板厚度一般约为d2=(1/12~1/7)；侧墙厚度d3等于或略小于顶板厚度；加腋尺寸一般约为C=（0.08~0.1）B。</t>
  </si>
  <si>
    <t>2、为了防止施工期间立模、扎筋时对地基的扰动，保证底板钢筋混凝土的浇注质量，在底板底面一般设0.1m厚的C15以上混凝土垫层。</t>
  </si>
  <si>
    <t>3、例子参照涵洞规范P147，地基为密实砂类土</t>
  </si>
  <si>
    <t>涵洞控制情况：1.顶上填土+自重</t>
  </si>
  <si>
    <t>项目</t>
  </si>
  <si>
    <t>符号</t>
  </si>
  <si>
    <t>单位</t>
  </si>
  <si>
    <t>数值</t>
  </si>
  <si>
    <t>备注</t>
  </si>
  <si>
    <t>上埋式or沟埋式</t>
  </si>
  <si>
    <t>上埋式</t>
  </si>
  <si>
    <t>底板厚</t>
  </si>
  <si>
    <t>d1</t>
  </si>
  <si>
    <t>m</t>
  </si>
  <si>
    <t>顶板厚</t>
  </si>
  <si>
    <t>d2</t>
  </si>
  <si>
    <t>边墙厚</t>
  </si>
  <si>
    <t>d3</t>
  </si>
  <si>
    <t>隔墙厚</t>
  </si>
  <si>
    <t>d4</t>
  </si>
  <si>
    <t>单孔无此项</t>
  </si>
  <si>
    <t>加腋尺寸</t>
  </si>
  <si>
    <t>c</t>
  </si>
  <si>
    <t>净宽</t>
  </si>
  <si>
    <t>B</t>
  </si>
  <si>
    <t>总宽度</t>
  </si>
  <si>
    <t>B1</t>
  </si>
  <si>
    <t>顶板以上水深</t>
  </si>
  <si>
    <t>H0</t>
  </si>
  <si>
    <t>顶板底面以上的水头压力，顶板以下为负值</t>
  </si>
  <si>
    <t>净高</t>
  </si>
  <si>
    <t>H</t>
  </si>
  <si>
    <t>覆土厚度</t>
  </si>
  <si>
    <t>Hd</t>
  </si>
  <si>
    <t>覆土内摩擦角</t>
  </si>
  <si>
    <t>φ</t>
  </si>
  <si>
    <t>。</t>
  </si>
  <si>
    <t>砼容重</t>
  </si>
  <si>
    <t>γ砼</t>
  </si>
  <si>
    <t>kN/m3</t>
  </si>
  <si>
    <t>`</t>
  </si>
  <si>
    <t>土容重</t>
  </si>
  <si>
    <t>γ土</t>
  </si>
  <si>
    <t>水容重</t>
  </si>
  <si>
    <t>γ水</t>
  </si>
  <si>
    <t>地基情况</t>
  </si>
  <si>
    <t>必填</t>
  </si>
  <si>
    <t>1:岩石；2:密实砂类土,坚硬或硬粘性土；3:中密砂类土,可塑粘性土；4:松散砂类土,流塑或软塑粘性土</t>
  </si>
  <si>
    <t>承载力极限状态</t>
  </si>
  <si>
    <t>正常使用状态</t>
  </si>
  <si>
    <t>地下水高+内部无水</t>
  </si>
  <si>
    <t>外部高地下水+内部无水</t>
  </si>
  <si>
    <t>内满水+外无水</t>
  </si>
  <si>
    <t>一：计算洞顶荷载q2（q2=qt2+q汽+q自重）</t>
  </si>
  <si>
    <t>顶板均布荷载</t>
  </si>
  <si>
    <t>q2</t>
  </si>
  <si>
    <t>kN/m</t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</si>
  <si>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q</t>
    </r>
    <r>
      <rPr>
        <sz val="10"/>
        <rFont val="宋体"/>
        <charset val="134"/>
      </rPr>
      <t xml:space="preserve">1--底板均布荷载,kN/m; </t>
    </r>
    <r>
      <rPr>
        <i/>
        <sz val="10"/>
        <rFont val="宋体"/>
        <charset val="134"/>
      </rPr>
      <t>q</t>
    </r>
    <r>
      <rPr>
        <sz val="10"/>
        <rFont val="宋体"/>
        <charset val="134"/>
      </rPr>
      <t xml:space="preserve">2--顶板均布荷载,kN/m; </t>
    </r>
  </si>
  <si>
    <t>1)作用于洞顶的均布垂直土压力-qt2</t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</si>
  <si>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q</t>
    </r>
    <r>
      <rPr>
        <sz val="10"/>
        <rFont val="宋体"/>
        <charset val="134"/>
      </rPr>
      <t>3--侧墙上部均布荷载,kN/m;</t>
    </r>
    <r>
      <rPr>
        <i/>
        <sz val="10"/>
        <rFont val="宋体"/>
        <charset val="134"/>
      </rPr>
      <t xml:space="preserve"> q</t>
    </r>
    <r>
      <rPr>
        <sz val="10"/>
        <rFont val="宋体"/>
        <charset val="134"/>
      </rPr>
      <t>4--侧墙下部均布荷载,kN/m;</t>
    </r>
  </si>
  <si>
    <t>Hd/B1</t>
  </si>
  <si>
    <r>
      <rPr>
        <i/>
        <sz val="10"/>
        <rFont val="宋体"/>
        <charset val="134"/>
      </rPr>
      <t xml:space="preserve"> L</t>
    </r>
    <r>
      <rPr>
        <sz val="10"/>
        <rFont val="宋体"/>
        <charset val="134"/>
      </rPr>
      <t xml:space="preserve">1--板边跨长,m;  </t>
    </r>
    <r>
      <rPr>
        <i/>
        <sz val="10"/>
        <rFont val="宋体"/>
        <charset val="134"/>
      </rPr>
      <t>L</t>
    </r>
    <r>
      <rPr>
        <sz val="10"/>
        <rFont val="宋体"/>
        <charset val="134"/>
      </rPr>
      <t>2--墙跨长,m;</t>
    </r>
    <r>
      <rPr>
        <i/>
        <sz val="10"/>
        <rFont val="宋体"/>
        <charset val="134"/>
      </rPr>
      <t xml:space="preserve"> L</t>
    </r>
    <r>
      <rPr>
        <sz val="10"/>
        <rFont val="宋体"/>
        <charset val="134"/>
      </rPr>
      <t>3--板中跨长;</t>
    </r>
  </si>
  <si>
    <t>查Ks</t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</si>
  <si>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d</t>
    </r>
    <r>
      <rPr>
        <sz val="10"/>
        <rFont val="宋体"/>
        <charset val="134"/>
      </rPr>
      <t xml:space="preserve">1--底板厚,m; </t>
    </r>
    <r>
      <rPr>
        <i/>
        <sz val="10"/>
        <rFont val="宋体"/>
        <charset val="134"/>
      </rPr>
      <t>d</t>
    </r>
    <r>
      <rPr>
        <sz val="10"/>
        <rFont val="宋体"/>
        <charset val="134"/>
      </rPr>
      <t>2--顶板厚,m;</t>
    </r>
    <r>
      <rPr>
        <i/>
        <sz val="10"/>
        <rFont val="宋体"/>
        <charset val="134"/>
      </rPr>
      <t xml:space="preserve"> d</t>
    </r>
    <r>
      <rPr>
        <sz val="10"/>
        <rFont val="宋体"/>
        <charset val="134"/>
      </rPr>
      <t xml:space="preserve">3--侧墙厚,m; </t>
    </r>
    <r>
      <rPr>
        <i/>
        <sz val="10"/>
        <rFont val="宋体"/>
        <charset val="134"/>
      </rPr>
      <t>d</t>
    </r>
    <r>
      <rPr>
        <sz val="10"/>
        <rFont val="宋体"/>
        <charset val="134"/>
      </rPr>
      <t>4--隔墙厚,m.</t>
    </r>
  </si>
  <si>
    <t>γG</t>
  </si>
  <si>
    <t>土重</t>
  </si>
  <si>
    <t>qt2</t>
  </si>
  <si>
    <t>2)作用于洞顶的汽车均布荷载-q汽</t>
  </si>
  <si>
    <t>汽车后轴自重标准值</t>
  </si>
  <si>
    <t>P</t>
  </si>
  <si>
    <t>kN</t>
  </si>
  <si>
    <t>后轴重力扩散至洞顶面积</t>
  </si>
  <si>
    <t>A</t>
  </si>
  <si>
    <t>m2</t>
  </si>
  <si>
    <t>行车方向后轴轮距</t>
  </si>
  <si>
    <t>S1</t>
  </si>
  <si>
    <t>垂直行车方向后轴轮距</t>
  </si>
  <si>
    <t>S2</t>
  </si>
  <si>
    <t>后轴着地长度</t>
  </si>
  <si>
    <t>后轴着地宽度</t>
  </si>
  <si>
    <t>d</t>
  </si>
  <si>
    <t>后轴重力扩散角</t>
  </si>
  <si>
    <t>°</t>
  </si>
  <si>
    <t>行车方向类型分界深度</t>
  </si>
  <si>
    <t>ht</t>
  </si>
  <si>
    <t>行车方向扩散长度</t>
  </si>
  <si>
    <t>a</t>
  </si>
  <si>
    <t>垂直行车方向类型分界深度</t>
  </si>
  <si>
    <t>ht'</t>
  </si>
  <si>
    <t>垂直行车方向扩散长度</t>
  </si>
  <si>
    <t>b</t>
  </si>
  <si>
    <t>汽车作用分项系数</t>
  </si>
  <si>
    <t xml:space="preserve">γQ </t>
  </si>
  <si>
    <t>汽车荷载传至洞顶均布荷载</t>
  </si>
  <si>
    <t>q汽</t>
  </si>
  <si>
    <r>
      <rPr>
        <sz val="10"/>
        <rFont val="宋体"/>
        <charset val="134"/>
      </rPr>
      <t>kN/m</t>
    </r>
    <r>
      <rPr>
        <sz val="10"/>
        <rFont val="宋体"/>
        <charset val="134"/>
      </rPr>
      <t>2</t>
    </r>
  </si>
  <si>
    <t>3)作用于洞顶的水压力均布荷载-q外水2</t>
  </si>
  <si>
    <t>q水</t>
  </si>
  <si>
    <t>4)顶板自重-q自重</t>
  </si>
  <si>
    <t>q自重</t>
  </si>
  <si>
    <t>二：计算侧墙荷载q3（q3=qt3+q外水3）</t>
  </si>
  <si>
    <t>侧墙上部均布荷载</t>
  </si>
  <si>
    <t>q3</t>
  </si>
  <si>
    <t>三：计算侧墙荷载q4（q4=qt4+q外水4）</t>
  </si>
  <si>
    <t>侧墙下部均布荷载</t>
  </si>
  <si>
    <t>q4</t>
  </si>
  <si>
    <t>5)作用于侧墙的水平分布土压力qt3、qt4</t>
  </si>
  <si>
    <t>侧墙顶部土压力荷载</t>
  </si>
  <si>
    <t>qt3</t>
  </si>
  <si>
    <t>侧墙底部土压力荷载</t>
  </si>
  <si>
    <r>
      <rPr>
        <sz val="10"/>
        <rFont val="宋体"/>
        <charset val="134"/>
      </rPr>
      <t>qt4</t>
    </r>
  </si>
  <si>
    <t>6)作用于侧墙的水平分布水压力q内水3、q外水4</t>
  </si>
  <si>
    <t>侧墙顶部水压力荷载</t>
  </si>
  <si>
    <t>q外水3</t>
  </si>
  <si>
    <t>侧墙底部水压力荷载</t>
  </si>
  <si>
    <t>q外水4</t>
  </si>
  <si>
    <t>三：计算底板底面荷载q1</t>
  </si>
  <si>
    <t>q1</t>
  </si>
  <si>
    <t>顶板以上荷载+侧墙自重+底板自重</t>
  </si>
  <si>
    <t>单孔箱涵设计基本资料表</t>
  </si>
  <si>
    <t>侧墙上端轴力</t>
  </si>
  <si>
    <r>
      <rPr>
        <sz val="10"/>
        <rFont val="宋体"/>
        <charset val="134"/>
      </rPr>
      <t>底板均布</t>
    </r>
    <r>
      <rPr>
        <i/>
        <sz val="10"/>
        <rFont val="宋体"/>
        <charset val="134"/>
      </rPr>
      <t>q</t>
    </r>
    <r>
      <rPr>
        <sz val="10"/>
        <rFont val="宋体"/>
        <charset val="134"/>
      </rPr>
      <t>1</t>
    </r>
  </si>
  <si>
    <r>
      <rPr>
        <sz val="10"/>
        <rFont val="宋体"/>
        <charset val="134"/>
      </rPr>
      <t>顶板均布</t>
    </r>
    <r>
      <rPr>
        <i/>
        <sz val="10"/>
        <rFont val="宋体"/>
        <charset val="134"/>
      </rPr>
      <t>q</t>
    </r>
    <r>
      <rPr>
        <sz val="10"/>
        <rFont val="宋体"/>
        <charset val="134"/>
      </rPr>
      <t>2</t>
    </r>
  </si>
  <si>
    <t>顶板轴力</t>
  </si>
  <si>
    <r>
      <rPr>
        <sz val="10"/>
        <rFont val="宋体"/>
        <charset val="134"/>
      </rPr>
      <t xml:space="preserve">侧墙上 </t>
    </r>
    <r>
      <rPr>
        <i/>
        <sz val="10"/>
        <rFont val="宋体"/>
        <charset val="134"/>
      </rPr>
      <t>q</t>
    </r>
    <r>
      <rPr>
        <sz val="10"/>
        <rFont val="宋体"/>
        <charset val="134"/>
      </rPr>
      <t>3</t>
    </r>
  </si>
  <si>
    <r>
      <rPr>
        <sz val="10"/>
        <rFont val="宋体"/>
        <charset val="134"/>
      </rPr>
      <t xml:space="preserve">侧墙下 </t>
    </r>
    <r>
      <rPr>
        <i/>
        <sz val="10"/>
        <rFont val="宋体"/>
        <charset val="134"/>
      </rPr>
      <t>q</t>
    </r>
    <r>
      <rPr>
        <sz val="10"/>
        <rFont val="宋体"/>
        <charset val="134"/>
      </rPr>
      <t>4</t>
    </r>
  </si>
  <si>
    <r>
      <rPr>
        <sz val="10"/>
        <rFont val="宋体"/>
        <charset val="134"/>
      </rPr>
      <t xml:space="preserve">半板跨长 </t>
    </r>
    <r>
      <rPr>
        <i/>
        <sz val="10"/>
        <rFont val="宋体"/>
        <charset val="134"/>
      </rPr>
      <t>L</t>
    </r>
    <r>
      <rPr>
        <sz val="10"/>
        <rFont val="宋体"/>
        <charset val="134"/>
      </rPr>
      <t>1</t>
    </r>
  </si>
  <si>
    <r>
      <rPr>
        <sz val="10"/>
        <rFont val="宋体"/>
        <charset val="134"/>
      </rPr>
      <t xml:space="preserve">墙跨长 </t>
    </r>
    <r>
      <rPr>
        <i/>
        <sz val="10"/>
        <rFont val="宋体"/>
        <charset val="134"/>
      </rPr>
      <t>L</t>
    </r>
    <r>
      <rPr>
        <sz val="10"/>
        <rFont val="宋体"/>
        <charset val="134"/>
      </rPr>
      <t>2</t>
    </r>
  </si>
  <si>
    <r>
      <rPr>
        <sz val="10"/>
        <rFont val="宋体"/>
        <charset val="134"/>
      </rPr>
      <t xml:space="preserve">底板厚 </t>
    </r>
    <r>
      <rPr>
        <i/>
        <sz val="10"/>
        <rFont val="宋体"/>
        <charset val="134"/>
      </rPr>
      <t>d</t>
    </r>
    <r>
      <rPr>
        <sz val="10"/>
        <rFont val="宋体"/>
        <charset val="134"/>
      </rPr>
      <t>1</t>
    </r>
  </si>
  <si>
    <r>
      <rPr>
        <sz val="10"/>
        <rFont val="宋体"/>
        <charset val="134"/>
      </rPr>
      <t xml:space="preserve">顶板厚 </t>
    </r>
    <r>
      <rPr>
        <i/>
        <sz val="10"/>
        <rFont val="宋体"/>
        <charset val="134"/>
      </rPr>
      <t>d</t>
    </r>
    <r>
      <rPr>
        <sz val="10"/>
        <rFont val="宋体"/>
        <charset val="134"/>
      </rPr>
      <t>2</t>
    </r>
  </si>
  <si>
    <r>
      <rPr>
        <sz val="10"/>
        <rFont val="宋体"/>
        <charset val="134"/>
      </rPr>
      <t xml:space="preserve">侧墙厚 </t>
    </r>
    <r>
      <rPr>
        <i/>
        <sz val="10"/>
        <rFont val="宋体"/>
        <charset val="134"/>
      </rPr>
      <t>d</t>
    </r>
    <r>
      <rPr>
        <sz val="10"/>
        <rFont val="宋体"/>
        <charset val="134"/>
      </rPr>
      <t>3</t>
    </r>
  </si>
  <si>
    <t xml:space="preserve"> 注：下表数据随本表数据改变而改变;荷载指向涵内为正;</t>
  </si>
  <si>
    <t xml:space="preserve">     尺寸单位为 m ; 荷载单位为 kN 及 kN/m .</t>
  </si>
  <si>
    <t xml:space="preserve">        单孔箱涵弯矩分配表         弯矩单位：kN•m   </t>
  </si>
  <si>
    <t>结点</t>
  </si>
  <si>
    <t>D</t>
  </si>
  <si>
    <t xml:space="preserve"> </t>
  </si>
  <si>
    <t>C</t>
  </si>
  <si>
    <t>杆端</t>
  </si>
  <si>
    <t>DB</t>
  </si>
  <si>
    <t>BD</t>
  </si>
  <si>
    <t>BA</t>
  </si>
  <si>
    <t>AB</t>
  </si>
  <si>
    <t>AC</t>
  </si>
  <si>
    <t>CA</t>
  </si>
  <si>
    <r>
      <rPr>
        <sz val="10"/>
        <rFont val="宋体"/>
        <charset val="134"/>
      </rPr>
      <t xml:space="preserve">劲度 </t>
    </r>
    <r>
      <rPr>
        <i/>
        <sz val="10"/>
        <rFont val="宋体"/>
        <charset val="134"/>
      </rPr>
      <t>K</t>
    </r>
  </si>
  <si>
    <r>
      <rPr>
        <sz val="10"/>
        <rFont val="宋体"/>
        <charset val="134"/>
      </rPr>
      <t>分配系数</t>
    </r>
    <r>
      <rPr>
        <i/>
        <sz val="10"/>
        <rFont val="宋体"/>
        <charset val="134"/>
      </rPr>
      <t>μ</t>
    </r>
  </si>
  <si>
    <r>
      <rPr>
        <sz val="10"/>
        <rFont val="宋体"/>
        <charset val="134"/>
      </rPr>
      <t>固端弯矩</t>
    </r>
    <r>
      <rPr>
        <i/>
        <sz val="10"/>
        <rFont val="宋体"/>
        <charset val="134"/>
      </rPr>
      <t>MF</t>
    </r>
  </si>
  <si>
    <t>弯矩合计</t>
  </si>
  <si>
    <t xml:space="preserve"> 注：本表数据随基本资料表中数据改变而改变；</t>
  </si>
  <si>
    <r>
      <rPr>
        <sz val="10"/>
        <rFont val="宋体"/>
        <charset val="134"/>
      </rPr>
      <t xml:space="preserve">     杆端</t>
    </r>
    <r>
      <rPr>
        <i/>
        <sz val="10"/>
        <rFont val="宋体"/>
        <charset val="134"/>
      </rPr>
      <t>DB</t>
    </r>
    <r>
      <rPr>
        <sz val="10"/>
        <rFont val="宋体"/>
        <charset val="134"/>
      </rPr>
      <t>即底板跨中；杠端</t>
    </r>
    <r>
      <rPr>
        <i/>
        <sz val="10"/>
        <rFont val="宋体"/>
        <charset val="134"/>
      </rPr>
      <t>CA</t>
    </r>
    <r>
      <rPr>
        <sz val="10"/>
        <rFont val="宋体"/>
        <charset val="134"/>
      </rPr>
      <t>即顶板跨中。</t>
    </r>
  </si>
  <si>
    <t xml:space="preserve">  剪力、垮中（间）及加腋起点截面弯矩表-考虑加腋不准确</t>
  </si>
  <si>
    <t>QBD</t>
  </si>
  <si>
    <t>QBA</t>
  </si>
  <si>
    <t>QAB</t>
  </si>
  <si>
    <t>QAC</t>
  </si>
  <si>
    <t>注：本表数据随基本资料表数据改变而改变；</t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</si>
  <si>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 xml:space="preserve">QBD、QBA、QAB、QAC </t>
    </r>
    <r>
      <rPr>
        <sz val="10"/>
        <rFont val="宋体"/>
        <charset val="134"/>
      </rPr>
      <t>为杆端剪力，kN；</t>
    </r>
  </si>
  <si>
    <r>
      <rPr>
        <i/>
        <sz val="10"/>
        <rFont val="宋体"/>
        <charset val="134"/>
      </rPr>
      <t>M</t>
    </r>
    <r>
      <rPr>
        <sz val="10"/>
        <rFont val="宋体"/>
        <charset val="134"/>
      </rPr>
      <t>1</t>
    </r>
  </si>
  <si>
    <r>
      <rPr>
        <i/>
        <sz val="10"/>
        <rFont val="宋体"/>
        <charset val="134"/>
      </rPr>
      <t>M</t>
    </r>
    <r>
      <rPr>
        <sz val="10"/>
        <rFont val="宋体"/>
        <charset val="134"/>
      </rPr>
      <t>o1</t>
    </r>
  </si>
  <si>
    <r>
      <rPr>
        <i/>
        <sz val="10"/>
        <rFont val="宋体"/>
        <charset val="134"/>
      </rPr>
      <t>M</t>
    </r>
    <r>
      <rPr>
        <sz val="10"/>
        <rFont val="宋体"/>
        <charset val="134"/>
      </rPr>
      <t>2</t>
    </r>
  </si>
  <si>
    <r>
      <rPr>
        <i/>
        <sz val="10"/>
        <rFont val="宋体"/>
        <charset val="134"/>
      </rPr>
      <t>M</t>
    </r>
    <r>
      <rPr>
        <sz val="10"/>
        <rFont val="宋体"/>
        <charset val="134"/>
      </rPr>
      <t>o2</t>
    </r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</si>
  <si>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M</t>
    </r>
    <r>
      <rPr>
        <sz val="10"/>
        <rFont val="宋体"/>
        <charset val="134"/>
      </rPr>
      <t>1及</t>
    </r>
    <r>
      <rPr>
        <i/>
        <sz val="10"/>
        <rFont val="宋体"/>
        <charset val="134"/>
      </rPr>
      <t>Mo</t>
    </r>
    <r>
      <rPr>
        <sz val="10"/>
        <rFont val="宋体"/>
        <charset val="134"/>
      </rPr>
      <t>1 为底板加腋起点及跨中弯矩，kN·m；</t>
    </r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</si>
  <si>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M</t>
    </r>
    <r>
      <rPr>
        <sz val="10"/>
        <rFont val="宋体"/>
        <charset val="134"/>
      </rPr>
      <t>2及</t>
    </r>
    <r>
      <rPr>
        <i/>
        <sz val="10"/>
        <rFont val="宋体"/>
        <charset val="134"/>
      </rPr>
      <t>Mo</t>
    </r>
    <r>
      <rPr>
        <sz val="10"/>
        <rFont val="宋体"/>
        <charset val="134"/>
      </rPr>
      <t>2 为顶板加腋起点及跨中弯矩，kN·m；</t>
    </r>
  </si>
  <si>
    <r>
      <rPr>
        <i/>
        <sz val="10"/>
        <rFont val="宋体"/>
        <charset val="134"/>
      </rPr>
      <t>M</t>
    </r>
    <r>
      <rPr>
        <sz val="10"/>
        <rFont val="宋体"/>
        <charset val="134"/>
      </rPr>
      <t>3</t>
    </r>
  </si>
  <si>
    <r>
      <rPr>
        <i/>
        <sz val="10"/>
        <rFont val="宋体"/>
        <charset val="134"/>
      </rPr>
      <t>M</t>
    </r>
    <r>
      <rPr>
        <sz val="10"/>
        <rFont val="宋体"/>
        <charset val="134"/>
      </rPr>
      <t>4</t>
    </r>
  </si>
  <si>
    <r>
      <rPr>
        <i/>
        <sz val="10"/>
        <rFont val="宋体"/>
        <charset val="134"/>
      </rPr>
      <t>x</t>
    </r>
    <r>
      <rPr>
        <sz val="10"/>
        <rFont val="宋体"/>
        <charset val="134"/>
      </rPr>
      <t>o</t>
    </r>
  </si>
  <si>
    <r>
      <rPr>
        <i/>
        <sz val="10"/>
        <rFont val="宋体"/>
        <charset val="134"/>
      </rPr>
      <t>M</t>
    </r>
    <r>
      <rPr>
        <sz val="10"/>
        <rFont val="宋体"/>
        <charset val="134"/>
      </rPr>
      <t>o3</t>
    </r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</si>
  <si>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M</t>
    </r>
    <r>
      <rPr>
        <sz val="10"/>
        <rFont val="宋体"/>
        <charset val="134"/>
      </rPr>
      <t>3及</t>
    </r>
    <r>
      <rPr>
        <i/>
        <sz val="10"/>
        <rFont val="宋体"/>
        <charset val="134"/>
      </rPr>
      <t>M</t>
    </r>
    <r>
      <rPr>
        <sz val="10"/>
        <rFont val="宋体"/>
        <charset val="134"/>
      </rPr>
      <t>4 为侧墙上、下加腋起点弯矩，kN·m；</t>
    </r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</si>
  <si>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M</t>
    </r>
    <r>
      <rPr>
        <sz val="10"/>
        <rFont val="宋体"/>
        <charset val="134"/>
      </rPr>
      <t>o3 为侧墙跨间最大弯矩，kN·m；</t>
    </r>
  </si>
  <si>
    <r>
      <rPr>
        <sz val="10"/>
        <rFont val="宋体"/>
        <charset val="134"/>
      </rPr>
      <t xml:space="preserve"> </t>
    </r>
    <r>
      <rPr>
        <i/>
        <sz val="10"/>
        <rFont val="宋体"/>
        <charset val="134"/>
      </rPr>
      <t>xo</t>
    </r>
    <r>
      <rPr>
        <sz val="10"/>
        <rFont val="宋体"/>
        <charset val="134"/>
      </rPr>
      <t xml:space="preserve"> 为侧墙跨间最大弯矩位置，m  。</t>
    </r>
  </si>
  <si>
    <t>承载能力极限状态各部位控制截面内力计算成果表</t>
  </si>
  <si>
    <t>部位</t>
  </si>
  <si>
    <t>顶板</t>
  </si>
  <si>
    <t>底板</t>
  </si>
  <si>
    <t>侧墙</t>
  </si>
  <si>
    <t>弯矩</t>
  </si>
  <si>
    <t>跨间</t>
  </si>
  <si>
    <t>加腋起点</t>
  </si>
  <si>
    <t>上</t>
  </si>
  <si>
    <t>下</t>
  </si>
  <si>
    <t>剪力(kN)</t>
  </si>
  <si>
    <t>轴向力(kN)</t>
  </si>
  <si>
    <t>√</t>
  </si>
  <si>
    <t xml:space="preserve">  剪力、垮中（间）及杆端截面弯矩表-不考虑加腋位置</t>
  </si>
  <si>
    <t>1、杆件AB向B端的传递系数及杆件BA向A端的传递系数为1/2.</t>
  </si>
  <si>
    <t>2、杆件AC向C端的传递系数及杆件BD向D端的传递系数为-1.</t>
  </si>
  <si>
    <r>
      <rPr>
        <b/>
        <sz val="10"/>
        <rFont val="宋体"/>
        <charset val="134"/>
      </rPr>
      <t xml:space="preserve">     杆端</t>
    </r>
    <r>
      <rPr>
        <b/>
        <i/>
        <sz val="10"/>
        <rFont val="宋体"/>
        <charset val="134"/>
      </rPr>
      <t>DB</t>
    </r>
    <r>
      <rPr>
        <b/>
        <sz val="10"/>
        <rFont val="宋体"/>
        <charset val="134"/>
      </rPr>
      <t>即底板跨中；杠端</t>
    </r>
    <r>
      <rPr>
        <b/>
        <i/>
        <sz val="10"/>
        <rFont val="宋体"/>
        <charset val="134"/>
      </rPr>
      <t>CA</t>
    </r>
    <r>
      <rPr>
        <b/>
        <sz val="10"/>
        <rFont val="宋体"/>
        <charset val="134"/>
      </rPr>
      <t>即顶板跨中。</t>
    </r>
  </si>
  <si>
    <t xml:space="preserve">  剪力、垮中（间）及加腋起点截面弯矩表</t>
  </si>
  <si>
    <t>正常能力极限状态各部位控制截面内力计算成果表</t>
  </si>
  <si>
    <r>
      <rPr>
        <sz val="12"/>
        <rFont val="宋体"/>
        <charset val="134"/>
      </rPr>
      <t>上埋式涵洞土压力系数K</t>
    </r>
    <r>
      <rPr>
        <sz val="12"/>
        <rFont val="宋体"/>
        <charset val="134"/>
      </rPr>
      <t>S值表</t>
    </r>
  </si>
  <si>
    <t>1:岩石</t>
  </si>
  <si>
    <t>2:密实砂类土,坚硬或硬粘性土</t>
  </si>
  <si>
    <t>3:中密砂类土,可塑粘性土</t>
  </si>
  <si>
    <t>4:松散砂类土,流塑或软塑粘性土</t>
  </si>
  <si>
    <t>沟埋式涵洞土压力系数Ks值表</t>
  </si>
  <si>
    <t>根据&lt;涵洞&gt;熊启钧编著P132表5-1</t>
  </si>
  <si>
    <t>按3m车道算</t>
  </si>
  <si>
    <t>效应名称</t>
  </si>
  <si>
    <t>标准值（顺水流长度1m）</t>
  </si>
  <si>
    <t>分项系数</t>
  </si>
  <si>
    <t>永久作用</t>
  </si>
  <si>
    <t>结构自重（含水重）</t>
  </si>
  <si>
    <t>水的浮力</t>
  </si>
  <si>
    <t>可变作用</t>
  </si>
  <si>
    <t>1.汽车荷载</t>
  </si>
  <si>
    <t>车道均布荷载</t>
  </si>
  <si>
    <t>车道集中荷载</t>
  </si>
  <si>
    <t>车辆荷载</t>
  </si>
  <si>
    <t>2.汽车冲击力</t>
  </si>
  <si>
    <t>车道均布</t>
  </si>
  <si>
    <t>车道集中</t>
  </si>
  <si>
    <t>车辆</t>
  </si>
  <si>
    <t>0.45/1.3</t>
  </si>
  <si>
    <t>3.汽车离心力</t>
  </si>
  <si>
    <t>4.人群荷载</t>
  </si>
  <si>
    <t>kN/m2</t>
  </si>
  <si>
    <t>汽车制动力</t>
  </si>
  <si>
    <t>流水压力</t>
  </si>
  <si>
    <t>偶然作用</t>
  </si>
  <si>
    <t>地震作用</t>
  </si>
  <si>
    <t>撞击作用</t>
  </si>
  <si>
    <t>垂直力合计</t>
  </si>
  <si>
    <t>箱涵底面积</t>
  </si>
  <si>
    <t>车道荷载情况下</t>
  </si>
  <si>
    <t>车辆荷载情况下</t>
  </si>
  <si>
    <t>地基承载力</t>
  </si>
  <si>
    <t>不均匀系数</t>
  </si>
  <si>
    <t>轮压设计值</t>
  </si>
  <si>
    <t>轮着地宽度</t>
  </si>
  <si>
    <t>轮着地长度</t>
  </si>
  <si>
    <t>扩散后</t>
  </si>
  <si>
    <t>土压力系数</t>
  </si>
  <si>
    <t>μ</t>
  </si>
  <si>
    <t>墙背与竖直面夹角</t>
  </si>
  <si>
    <t>α</t>
  </si>
  <si>
    <t>填土表面与水平夹角</t>
  </si>
  <si>
    <t>β</t>
  </si>
  <si>
    <t>墙背与填土间的摩擦角=φ/2</t>
  </si>
  <si>
    <t>δ</t>
  </si>
  <si>
    <t>土的内摩擦角</t>
  </si>
  <si>
    <t>侧压力系数</t>
  </si>
  <si>
    <t>等代均布土层厚度</t>
  </si>
  <si>
    <t>h</t>
  </si>
  <si>
    <t>不含顶板自重</t>
    <phoneticPr fontId="11" type="noConversion"/>
  </si>
  <si>
    <t>含顶板自重，不含浮力</t>
    <phoneticPr fontId="11" type="noConversion"/>
  </si>
  <si>
    <t>含顶板自重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</si>
</sst>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.00_ "/>
  </numFmts>
  <fonts count="14" x14ac:knownFonts="1"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i/>
      <sz val="10"/>
      <name val="宋体"/>
      <charset val="134"/>
    </font>
    <font>
      <u/>
      <sz val="10"/>
      <name val="宋体"/>
      <charset val="134"/>
    </font>
    <font>
      <sz val="10"/>
      <color rgb="FFFF0000"/>
      <name val="宋体"/>
      <charset val="134"/>
    </font>
    <font>
      <sz val="10"/>
      <color indexed="10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b/>
      <i/>
      <sz val="10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</cellStyleXfs>
  <cellXfs count="12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5" borderId="1" xfId="0" applyFill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178" fontId="1" fillId="0" borderId="0" xfId="0" applyNumberFormat="1" applyFont="1" applyAlignment="1">
      <alignment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3" xfId="0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1" fillId="0" borderId="8" xfId="0" applyFont="1" applyBorder="1"/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2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4" fillId="0" borderId="20" xfId="0" applyFont="1" applyBorder="1"/>
    <xf numFmtId="0" fontId="4" fillId="0" borderId="19" xfId="0" applyFont="1" applyBorder="1"/>
    <xf numFmtId="0" fontId="1" fillId="0" borderId="21" xfId="0" applyFont="1" applyBorder="1"/>
    <xf numFmtId="0" fontId="1" fillId="0" borderId="20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3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5" borderId="0" xfId="0" applyFont="1" applyFill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8" borderId="1" xfId="0" applyFont="1" applyFill="1" applyBorder="1" applyAlignment="1">
      <alignment horizontal="center" vertical="center"/>
    </xf>
    <xf numFmtId="178" fontId="1" fillId="8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0" fillId="0" borderId="0" xfId="1">
      <alignment vertical="center"/>
    </xf>
    <xf numFmtId="0" fontId="10" fillId="0" borderId="0" xfId="2" applyAlignment="1">
      <alignment vertical="center"/>
    </xf>
    <xf numFmtId="0" fontId="10" fillId="0" borderId="0" xfId="2"/>
    <xf numFmtId="0" fontId="10" fillId="0" borderId="0" xfId="2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/>
    <xf numFmtId="0" fontId="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2" applyFont="1" applyAlignment="1">
      <alignment horizontal="left" vertical="center"/>
    </xf>
    <xf numFmtId="0" fontId="1" fillId="0" borderId="0" xfId="4" applyFont="1"/>
    <xf numFmtId="0" fontId="1" fillId="0" borderId="0" xfId="3" applyFont="1">
      <alignment vertical="center"/>
    </xf>
    <xf numFmtId="0" fontId="1" fillId="0" borderId="1" xfId="0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</cellXfs>
  <cellStyles count="5">
    <cellStyle name="常规" xfId="0" builtinId="0"/>
    <cellStyle name="常规 2" xfId="1" xr:uid="{00000000-0005-0000-0000-000031000000}"/>
    <cellStyle name="常规 2 2" xfId="2" xr:uid="{00000000-0005-0000-0000-000032000000}"/>
    <cellStyle name="常规_补强计算2012-1-25" xfId="3" xr:uid="{00000000-0005-0000-0000-000033000000}"/>
    <cellStyle name="常规_给排水埋地钢管结构计算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142875</xdr:colOff>
      <xdr:row>1</xdr:row>
      <xdr:rowOff>34683</xdr:rowOff>
    </xdr:from>
    <xdr:to>
      <xdr:col>22</xdr:col>
      <xdr:colOff>619125</xdr:colOff>
      <xdr:row>14</xdr:row>
      <xdr:rowOff>123825</xdr:rowOff>
    </xdr:to>
    <xdr:pic>
      <xdr:nvPicPr>
        <xdr:cNvPr id="3" name="Picture 12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38" t="34114" r="13086" b="30859"/>
        <a:stretch>
          <a:fillRect/>
        </a:stretch>
      </xdr:blipFill>
      <xdr:spPr>
        <a:xfrm>
          <a:off x="9772650" y="281940"/>
          <a:ext cx="8020050" cy="277558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295275</xdr:colOff>
      <xdr:row>0</xdr:row>
      <xdr:rowOff>57150</xdr:rowOff>
    </xdr:from>
    <xdr:to>
      <xdr:col>10</xdr:col>
      <xdr:colOff>504825</xdr:colOff>
      <xdr:row>16</xdr:row>
      <xdr:rowOff>18060</xdr:rowOff>
    </xdr:to>
    <xdr:pic>
      <xdr:nvPicPr>
        <xdr:cNvPr id="4" name="Picture 11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35" t="16406" r="42383" b="25130"/>
        <a:stretch>
          <a:fillRect/>
        </a:stretch>
      </xdr:blipFill>
      <xdr:spPr>
        <a:xfrm>
          <a:off x="6905625" y="57150"/>
          <a:ext cx="2543175" cy="32753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504825</xdr:colOff>
      <xdr:row>26</xdr:row>
      <xdr:rowOff>28575</xdr:rowOff>
    </xdr:from>
    <xdr:to>
      <xdr:col>10</xdr:col>
      <xdr:colOff>47625</xdr:colOff>
      <xdr:row>42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88" t="26952" r="51785" b="42857"/>
        <a:stretch>
          <a:fillRect/>
        </a:stretch>
      </xdr:blipFill>
      <xdr:spPr>
        <a:xfrm>
          <a:off x="7115175" y="6372225"/>
          <a:ext cx="1876425" cy="3019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10</xdr:col>
      <xdr:colOff>514350</xdr:colOff>
      <xdr:row>28</xdr:row>
      <xdr:rowOff>0</xdr:rowOff>
    </xdr:from>
    <xdr:to>
      <xdr:col>17</xdr:col>
      <xdr:colOff>323850</xdr:colOff>
      <xdr:row>52</xdr:row>
      <xdr:rowOff>142875</xdr:rowOff>
    </xdr:to>
    <xdr:pic>
      <xdr:nvPicPr>
        <xdr:cNvPr id="6" name="图片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458325" y="6724650"/>
          <a:ext cx="4610100" cy="471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628650</xdr:colOff>
      <xdr:row>4</xdr:row>
      <xdr:rowOff>85725</xdr:rowOff>
    </xdr:from>
    <xdr:to>
      <xdr:col>14</xdr:col>
      <xdr:colOff>247650</xdr:colOff>
      <xdr:row>17</xdr:row>
      <xdr:rowOff>19050</xdr:rowOff>
    </xdr:to>
    <xdr:pic>
      <xdr:nvPicPr>
        <xdr:cNvPr id="7" name="Picture 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46" t="39047" r="43393" b="34763"/>
        <a:stretch>
          <a:fillRect/>
        </a:stretch>
      </xdr:blipFill>
      <xdr:spPr>
        <a:xfrm>
          <a:off x="9572625" y="904875"/>
          <a:ext cx="2362200" cy="2619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73</xdr:row>
      <xdr:rowOff>73025</xdr:rowOff>
    </xdr:from>
    <xdr:to>
      <xdr:col>2</xdr:col>
      <xdr:colOff>400050</xdr:colOff>
      <xdr:row>93</xdr:row>
      <xdr:rowOff>44450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88" t="26952" r="51785" b="42857"/>
        <a:stretch>
          <a:fillRect/>
        </a:stretch>
      </xdr:blipFill>
      <xdr:spPr>
        <a:xfrm>
          <a:off x="152400" y="12395200"/>
          <a:ext cx="1876425" cy="327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5</xdr:col>
      <xdr:colOff>787400</xdr:colOff>
      <xdr:row>0</xdr:row>
      <xdr:rowOff>19050</xdr:rowOff>
    </xdr:from>
    <xdr:to>
      <xdr:col>7</xdr:col>
      <xdr:colOff>639445</xdr:colOff>
      <xdr:row>12</xdr:row>
      <xdr:rowOff>78740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88" t="26952" r="51785" b="42857"/>
        <a:stretch>
          <a:fillRect/>
        </a:stretch>
      </xdr:blipFill>
      <xdr:spPr>
        <a:xfrm>
          <a:off x="4600575" y="19050"/>
          <a:ext cx="1477645" cy="23710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515620</xdr:colOff>
      <xdr:row>74</xdr:row>
      <xdr:rowOff>127000</xdr:rowOff>
    </xdr:from>
    <xdr:to>
      <xdr:col>16</xdr:col>
      <xdr:colOff>588645</xdr:colOff>
      <xdr:row>93</xdr:row>
      <xdr:rowOff>15240</xdr:rowOff>
    </xdr:to>
    <xdr:pic>
      <xdr:nvPicPr>
        <xdr:cNvPr id="4" name="图片 3" descr="Snipaste_2026-07-21_10-40-1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44395" y="12614275"/>
          <a:ext cx="10055225" cy="30251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16</xdr:row>
          <xdr:rowOff>9525</xdr:rowOff>
        </xdr:from>
        <xdr:to>
          <xdr:col>13</xdr:col>
          <xdr:colOff>523875</xdr:colOff>
          <xdr:row>47</xdr:row>
          <xdr:rowOff>142875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101"/>
  <sheetViews>
    <sheetView view="pageBreakPreview" zoomScaleNormal="100" workbookViewId="0">
      <selection activeCell="C54" sqref="C54"/>
    </sheetView>
  </sheetViews>
  <sheetFormatPr defaultColWidth="9" defaultRowHeight="14.25" x14ac:dyDescent="0.15"/>
  <cols>
    <col min="1" max="1" width="7.625" style="100" customWidth="1"/>
    <col min="2" max="2" width="5.5" style="100" customWidth="1"/>
    <col min="3" max="3" width="9" style="100"/>
    <col min="4" max="4" width="4" style="100" customWidth="1"/>
    <col min="5" max="5" width="5.5" style="100" customWidth="1"/>
    <col min="6" max="6" width="12" style="100" customWidth="1"/>
    <col min="7" max="7" width="9" style="100"/>
    <col min="8" max="8" width="4.875" style="100" customWidth="1"/>
    <col min="9" max="9" width="3.625" style="100" customWidth="1"/>
    <col min="10" max="10" width="3.125" style="100" customWidth="1"/>
    <col min="11" max="11" width="2.125" style="100" customWidth="1"/>
    <col min="12" max="12" width="6" style="100" customWidth="1"/>
    <col min="13" max="16384" width="9" style="100"/>
  </cols>
  <sheetData>
    <row r="1" spans="2:7" ht="27.75" customHeight="1" x14ac:dyDescent="0.15"/>
    <row r="2" spans="2:7" x14ac:dyDescent="0.15">
      <c r="B2" s="101" t="s">
        <v>0</v>
      </c>
      <c r="C2" s="102"/>
      <c r="D2" s="102"/>
      <c r="E2" s="102"/>
      <c r="G2" s="103" t="s">
        <v>1</v>
      </c>
    </row>
    <row r="4" spans="2:7" ht="20.25" customHeight="1" x14ac:dyDescent="0.15"/>
    <row r="5" spans="2:7" ht="20.25" x14ac:dyDescent="0.15">
      <c r="B5" s="102"/>
      <c r="C5" s="104" t="s">
        <v>2</v>
      </c>
      <c r="D5" s="102"/>
      <c r="E5" s="102"/>
      <c r="F5" s="104" t="s">
        <v>3</v>
      </c>
    </row>
    <row r="7" spans="2:7" ht="20.25" x14ac:dyDescent="0.15">
      <c r="B7" s="102"/>
      <c r="C7" s="104" t="s">
        <v>4</v>
      </c>
      <c r="D7" s="102"/>
      <c r="E7" s="102"/>
      <c r="F7" s="104" t="s">
        <v>5</v>
      </c>
    </row>
    <row r="8" spans="2:7" ht="23.25" customHeight="1" x14ac:dyDescent="0.15"/>
    <row r="9" spans="2:7" ht="20.25" x14ac:dyDescent="0.15">
      <c r="B9" s="102"/>
      <c r="C9" s="104" t="s">
        <v>6</v>
      </c>
      <c r="D9" s="102"/>
      <c r="E9" s="102"/>
      <c r="F9" s="102"/>
    </row>
    <row r="10" spans="2:7" x14ac:dyDescent="0.15">
      <c r="B10" s="102"/>
      <c r="C10" s="101"/>
      <c r="D10" s="102"/>
      <c r="E10" s="102"/>
      <c r="F10" s="102"/>
    </row>
    <row r="14" spans="2:7" ht="20.25" customHeight="1" x14ac:dyDescent="0.15"/>
    <row r="16" spans="2:7" x14ac:dyDescent="0.15">
      <c r="B16" s="102"/>
      <c r="C16" s="101" t="s">
        <v>7</v>
      </c>
      <c r="D16" s="102"/>
      <c r="E16" s="102"/>
      <c r="F16" s="102"/>
    </row>
    <row r="18" spans="3:3" x14ac:dyDescent="0.15">
      <c r="C18" s="101" t="s">
        <v>8</v>
      </c>
    </row>
    <row r="20" spans="3:3" x14ac:dyDescent="0.15">
      <c r="C20" s="101" t="s">
        <v>9</v>
      </c>
    </row>
    <row r="22" spans="3:3" x14ac:dyDescent="0.15">
      <c r="C22" s="101" t="s">
        <v>10</v>
      </c>
    </row>
    <row r="24" spans="3:3" x14ac:dyDescent="0.15">
      <c r="C24" s="101" t="s">
        <v>11</v>
      </c>
    </row>
    <row r="26" spans="3:3" x14ac:dyDescent="0.15">
      <c r="C26" s="101" t="s">
        <v>12</v>
      </c>
    </row>
    <row r="42" spans="3:6" ht="24" customHeight="1" x14ac:dyDescent="0.25">
      <c r="C42" s="105" t="s">
        <v>13</v>
      </c>
      <c r="D42" s="106"/>
      <c r="E42" s="106"/>
      <c r="F42" s="107" t="s">
        <v>14</v>
      </c>
    </row>
    <row r="43" spans="3:6" ht="24" customHeight="1" x14ac:dyDescent="0.25">
      <c r="C43" s="105" t="s">
        <v>15</v>
      </c>
      <c r="D43" s="106"/>
      <c r="E43" s="106"/>
      <c r="F43" s="107" t="s">
        <v>16</v>
      </c>
    </row>
    <row r="48" spans="3:6" ht="20.25" x14ac:dyDescent="0.15">
      <c r="C48" s="102"/>
      <c r="D48" s="102"/>
      <c r="E48" s="102"/>
      <c r="F48" s="108" t="s">
        <v>17</v>
      </c>
    </row>
    <row r="54" spans="2:2" x14ac:dyDescent="0.15">
      <c r="B54" s="101" t="s">
        <v>18</v>
      </c>
    </row>
    <row r="56" spans="2:2" x14ac:dyDescent="0.15">
      <c r="B56" s="101" t="s">
        <v>19</v>
      </c>
    </row>
    <row r="58" spans="2:2" x14ac:dyDescent="0.15">
      <c r="B58" s="101" t="s">
        <v>20</v>
      </c>
    </row>
    <row r="96" spans="2:3" x14ac:dyDescent="0.15">
      <c r="B96" s="109" t="s">
        <v>21</v>
      </c>
      <c r="C96" s="89" t="s">
        <v>22</v>
      </c>
    </row>
    <row r="97" spans="1:3" x14ac:dyDescent="0.15">
      <c r="A97" s="110"/>
      <c r="B97" s="15"/>
      <c r="C97" s="89" t="s">
        <v>23</v>
      </c>
    </row>
    <row r="98" spans="1:3" x14ac:dyDescent="0.15">
      <c r="A98" s="111"/>
      <c r="B98" s="15"/>
      <c r="C98" s="89" t="s">
        <v>24</v>
      </c>
    </row>
    <row r="99" spans="1:3" x14ac:dyDescent="0.15">
      <c r="A99" s="112"/>
    </row>
    <row r="100" spans="1:3" x14ac:dyDescent="0.15">
      <c r="A100" s="112"/>
    </row>
    <row r="101" spans="1:3" x14ac:dyDescent="0.15">
      <c r="A101" s="112"/>
    </row>
  </sheetData>
  <phoneticPr fontId="13" type="noConversion"/>
  <dataValidations count="1">
    <dataValidation type="list" allowBlank="1" showInputMessage="1" showErrorMessage="1" sqref="F7" xr:uid="{00000000-0002-0000-0000-000000000000}">
      <formula1>"规划阶段,项目建议书阶段,可行性研究阶段,初步设计阶段,招标阶段,施工图阶段"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60"/>
  <sheetViews>
    <sheetView workbookViewId="0">
      <selection activeCell="D47" sqref="D47"/>
    </sheetView>
  </sheetViews>
  <sheetFormatPr defaultColWidth="9" defaultRowHeight="15" customHeight="1" x14ac:dyDescent="0.15"/>
  <cols>
    <col min="1" max="1" width="18.875" style="57" customWidth="1"/>
    <col min="2" max="2" width="5.875" style="2" customWidth="1"/>
    <col min="3" max="3" width="5.5" style="2" customWidth="1"/>
    <col min="4" max="4" width="8.625" style="2" customWidth="1"/>
    <col min="5" max="5" width="9.5" style="2" customWidth="1"/>
    <col min="6" max="6" width="10.25" style="2" customWidth="1"/>
    <col min="7" max="7" width="10.375" style="2" customWidth="1"/>
    <col min="8" max="8" width="17.75" style="2" customWidth="1"/>
    <col min="9" max="9" width="21.625" style="1" customWidth="1"/>
    <col min="10" max="16384" width="9" style="2"/>
  </cols>
  <sheetData>
    <row r="1" spans="1:11" ht="19.5" customHeight="1" x14ac:dyDescent="0.15">
      <c r="B1" s="1" t="s">
        <v>25</v>
      </c>
      <c r="J1" s="90"/>
    </row>
    <row r="2" spans="1:11" ht="15" customHeight="1" x14ac:dyDescent="0.15">
      <c r="A2" s="4" t="s">
        <v>26</v>
      </c>
      <c r="B2" s="4" t="s">
        <v>27</v>
      </c>
      <c r="C2" s="4" t="s">
        <v>28</v>
      </c>
      <c r="D2" s="4" t="s">
        <v>29</v>
      </c>
      <c r="E2" s="4"/>
      <c r="F2" s="4"/>
      <c r="G2" s="4"/>
      <c r="H2" s="4" t="s">
        <v>30</v>
      </c>
    </row>
    <row r="3" spans="1:11" ht="15" customHeight="1" x14ac:dyDescent="0.15">
      <c r="A3" s="3" t="s">
        <v>31</v>
      </c>
      <c r="B3" s="4"/>
      <c r="C3" s="4"/>
      <c r="D3" s="4" t="s">
        <v>32</v>
      </c>
      <c r="E3" s="4"/>
      <c r="F3" s="4"/>
      <c r="G3" s="4"/>
      <c r="H3" s="4"/>
    </row>
    <row r="4" spans="1:11" ht="15" customHeight="1" x14ac:dyDescent="0.15">
      <c r="A4" s="3" t="s">
        <v>33</v>
      </c>
      <c r="B4" s="4" t="s">
        <v>34</v>
      </c>
      <c r="C4" s="4" t="s">
        <v>35</v>
      </c>
      <c r="D4" s="5">
        <v>0.8</v>
      </c>
      <c r="E4" s="4"/>
      <c r="F4" s="4"/>
      <c r="G4" s="4"/>
      <c r="H4" s="4"/>
    </row>
    <row r="5" spans="1:11" ht="15" customHeight="1" x14ac:dyDescent="0.15">
      <c r="A5" s="62" t="s">
        <v>36</v>
      </c>
      <c r="B5" s="4" t="s">
        <v>37</v>
      </c>
      <c r="C5" s="4" t="s">
        <v>35</v>
      </c>
      <c r="D5" s="91">
        <v>0.8</v>
      </c>
      <c r="E5" s="4"/>
      <c r="F5" s="4"/>
      <c r="G5" s="4"/>
      <c r="H5" s="4"/>
    </row>
    <row r="6" spans="1:11" ht="15" customHeight="1" x14ac:dyDescent="0.15">
      <c r="A6" s="62" t="s">
        <v>38</v>
      </c>
      <c r="B6" s="4" t="s">
        <v>39</v>
      </c>
      <c r="C6" s="4" t="s">
        <v>35</v>
      </c>
      <c r="D6" s="91">
        <v>0.8</v>
      </c>
      <c r="E6" s="4"/>
      <c r="F6" s="4"/>
      <c r="G6" s="4"/>
      <c r="H6" s="4"/>
    </row>
    <row r="7" spans="1:11" ht="15" customHeight="1" x14ac:dyDescent="0.15">
      <c r="A7" s="62" t="s">
        <v>40</v>
      </c>
      <c r="B7" s="4" t="s">
        <v>41</v>
      </c>
      <c r="C7" s="4" t="s">
        <v>35</v>
      </c>
      <c r="D7" s="4">
        <v>0</v>
      </c>
      <c r="E7" s="4"/>
      <c r="F7" s="3"/>
      <c r="G7" s="3"/>
      <c r="H7" s="3" t="s">
        <v>42</v>
      </c>
    </row>
    <row r="8" spans="1:11" ht="15" customHeight="1" x14ac:dyDescent="0.15">
      <c r="A8" s="3" t="s">
        <v>43</v>
      </c>
      <c r="B8" s="4" t="s">
        <v>44</v>
      </c>
      <c r="C8" s="4" t="s">
        <v>35</v>
      </c>
      <c r="D8" s="4">
        <v>0.4</v>
      </c>
      <c r="E8" s="4"/>
      <c r="F8" s="3"/>
      <c r="G8" s="3"/>
      <c r="H8" s="3"/>
    </row>
    <row r="9" spans="1:11" ht="15" customHeight="1" x14ac:dyDescent="0.15">
      <c r="A9" s="62" t="s">
        <v>45</v>
      </c>
      <c r="B9" s="4" t="s">
        <v>46</v>
      </c>
      <c r="C9" s="4" t="s">
        <v>35</v>
      </c>
      <c r="D9" s="5">
        <v>4</v>
      </c>
      <c r="E9" s="4"/>
      <c r="F9" s="3"/>
      <c r="G9" s="3"/>
      <c r="H9" s="3"/>
    </row>
    <row r="10" spans="1:11" ht="15" customHeight="1" x14ac:dyDescent="0.15">
      <c r="A10" s="62" t="s">
        <v>47</v>
      </c>
      <c r="B10" s="4" t="s">
        <v>48</v>
      </c>
      <c r="C10" s="4" t="s">
        <v>35</v>
      </c>
      <c r="D10" s="4">
        <f>D9+2*D6</f>
        <v>5.6</v>
      </c>
      <c r="E10" s="4"/>
      <c r="F10" s="3"/>
      <c r="G10" s="3"/>
      <c r="H10" s="3"/>
    </row>
    <row r="11" spans="1:11" ht="31.5" customHeight="1" x14ac:dyDescent="0.15">
      <c r="A11" s="62" t="s">
        <v>49</v>
      </c>
      <c r="B11" s="4" t="s">
        <v>50</v>
      </c>
      <c r="C11" s="4" t="s">
        <v>35</v>
      </c>
      <c r="D11" s="92">
        <v>0</v>
      </c>
      <c r="E11" s="4"/>
      <c r="F11" s="93"/>
      <c r="G11" s="93"/>
      <c r="H11" s="93" t="s">
        <v>51</v>
      </c>
    </row>
    <row r="12" spans="1:11" ht="15" customHeight="1" x14ac:dyDescent="0.15">
      <c r="A12" s="62" t="s">
        <v>52</v>
      </c>
      <c r="B12" s="4" t="s">
        <v>53</v>
      </c>
      <c r="C12" s="4" t="s">
        <v>35</v>
      </c>
      <c r="D12" s="91">
        <v>7.12</v>
      </c>
      <c r="E12" s="4"/>
      <c r="F12" s="3"/>
      <c r="G12" s="3"/>
      <c r="H12" s="3"/>
    </row>
    <row r="13" spans="1:11" ht="15" customHeight="1" x14ac:dyDescent="0.15">
      <c r="A13" s="62" t="s">
        <v>54</v>
      </c>
      <c r="B13" s="4" t="s">
        <v>55</v>
      </c>
      <c r="C13" s="4" t="s">
        <v>35</v>
      </c>
      <c r="D13" s="91">
        <v>0.7</v>
      </c>
      <c r="E13" s="4"/>
      <c r="F13" s="3"/>
      <c r="G13" s="3"/>
      <c r="H13" s="3"/>
    </row>
    <row r="14" spans="1:11" ht="15" customHeight="1" x14ac:dyDescent="0.15">
      <c r="A14" s="62" t="s">
        <v>56</v>
      </c>
      <c r="B14" s="4" t="s">
        <v>57</v>
      </c>
      <c r="C14" s="4" t="s">
        <v>58</v>
      </c>
      <c r="D14" s="4">
        <v>10</v>
      </c>
      <c r="E14" s="4"/>
      <c r="F14" s="4"/>
      <c r="G14" s="4"/>
      <c r="H14" s="4"/>
    </row>
    <row r="15" spans="1:11" ht="15" customHeight="1" x14ac:dyDescent="0.15">
      <c r="A15" s="62" t="s">
        <v>59</v>
      </c>
      <c r="B15" s="4" t="s">
        <v>60</v>
      </c>
      <c r="C15" s="4" t="s">
        <v>61</v>
      </c>
      <c r="D15" s="91">
        <v>25</v>
      </c>
      <c r="E15" s="4"/>
      <c r="F15" s="3"/>
      <c r="G15" s="3"/>
      <c r="H15" s="3"/>
      <c r="K15" s="2" t="s">
        <v>62</v>
      </c>
    </row>
    <row r="16" spans="1:11" ht="15" customHeight="1" x14ac:dyDescent="0.15">
      <c r="A16" s="62" t="s">
        <v>63</v>
      </c>
      <c r="B16" s="4" t="s">
        <v>64</v>
      </c>
      <c r="C16" s="4" t="s">
        <v>61</v>
      </c>
      <c r="D16" s="91">
        <v>18</v>
      </c>
      <c r="E16" s="4"/>
      <c r="F16" s="3"/>
      <c r="G16" s="3"/>
      <c r="H16" s="3"/>
    </row>
    <row r="17" spans="1:9" ht="15" customHeight="1" x14ac:dyDescent="0.15">
      <c r="A17" s="62" t="s">
        <v>65</v>
      </c>
      <c r="B17" s="4" t="s">
        <v>66</v>
      </c>
      <c r="C17" s="4" t="s">
        <v>61</v>
      </c>
      <c r="D17" s="91">
        <v>10</v>
      </c>
      <c r="E17" s="4"/>
      <c r="F17" s="3"/>
      <c r="G17" s="3"/>
      <c r="H17" s="3"/>
    </row>
    <row r="18" spans="1:9" ht="67.5" customHeight="1" x14ac:dyDescent="0.15">
      <c r="A18" s="4" t="s">
        <v>67</v>
      </c>
      <c r="B18" s="4" t="s">
        <v>68</v>
      </c>
      <c r="C18" s="4"/>
      <c r="D18" s="91">
        <v>2</v>
      </c>
      <c r="E18" s="4"/>
      <c r="F18" s="93"/>
      <c r="G18" s="93"/>
      <c r="H18" s="93" t="s">
        <v>69</v>
      </c>
    </row>
    <row r="19" spans="1:9" ht="33" customHeight="1" x14ac:dyDescent="0.15">
      <c r="A19" s="62"/>
      <c r="B19" s="4"/>
      <c r="C19" s="4"/>
      <c r="D19" s="94" t="s">
        <v>70</v>
      </c>
      <c r="E19" s="94" t="s">
        <v>71</v>
      </c>
      <c r="F19" s="94" t="s">
        <v>70</v>
      </c>
      <c r="G19" s="94" t="s">
        <v>71</v>
      </c>
      <c r="H19" s="94"/>
    </row>
    <row r="20" spans="1:9" ht="33" customHeight="1" x14ac:dyDescent="0.15">
      <c r="A20" s="62"/>
      <c r="B20" s="4"/>
      <c r="C20" s="4"/>
      <c r="D20" s="55" t="s">
        <v>72</v>
      </c>
      <c r="E20" s="55" t="s">
        <v>73</v>
      </c>
      <c r="F20" s="55" t="s">
        <v>74</v>
      </c>
      <c r="G20" s="55" t="s">
        <v>74</v>
      </c>
      <c r="H20" s="94"/>
    </row>
    <row r="21" spans="1:9" ht="15" customHeight="1" x14ac:dyDescent="0.15">
      <c r="A21" s="62" t="s">
        <v>75</v>
      </c>
      <c r="B21" s="4"/>
      <c r="C21" s="4"/>
      <c r="D21" s="4"/>
      <c r="E21" s="4"/>
      <c r="F21" s="4"/>
      <c r="G21" s="4"/>
      <c r="H21" s="4"/>
    </row>
    <row r="22" spans="1:9" ht="15" customHeight="1" x14ac:dyDescent="0.15">
      <c r="A22" s="62" t="s">
        <v>76</v>
      </c>
      <c r="B22" s="4" t="s">
        <v>77</v>
      </c>
      <c r="C22" s="4" t="s">
        <v>78</v>
      </c>
      <c r="D22" s="13">
        <f>D27+D41+D44+D47</f>
        <v>241.72757636045901</v>
      </c>
      <c r="E22" s="13">
        <f>E27+E41+E44+E47</f>
        <v>235.853076360459</v>
      </c>
      <c r="F22" s="95"/>
      <c r="G22" s="95"/>
      <c r="H22" s="95"/>
      <c r="I22" s="1" t="s">
        <v>79</v>
      </c>
    </row>
    <row r="23" spans="1:9" ht="15" customHeight="1" x14ac:dyDescent="0.15">
      <c r="A23" s="62" t="s">
        <v>80</v>
      </c>
      <c r="B23" s="4"/>
      <c r="C23" s="4"/>
      <c r="D23" s="4"/>
      <c r="E23" s="4"/>
      <c r="F23" s="4"/>
      <c r="G23" s="4"/>
      <c r="H23" s="4"/>
      <c r="I23" s="1" t="s">
        <v>81</v>
      </c>
    </row>
    <row r="24" spans="1:9" ht="15" customHeight="1" x14ac:dyDescent="0.15">
      <c r="A24" s="62"/>
      <c r="B24" s="4" t="s">
        <v>82</v>
      </c>
      <c r="C24" s="4"/>
      <c r="D24" s="13">
        <f>D13/D10</f>
        <v>0.125</v>
      </c>
      <c r="E24" s="13">
        <f>D13/D10</f>
        <v>0.125</v>
      </c>
      <c r="F24" s="13"/>
      <c r="G24" s="13"/>
      <c r="H24" s="13"/>
      <c r="I24" s="1" t="s">
        <v>83</v>
      </c>
    </row>
    <row r="25" spans="1:9" ht="15" customHeight="1" x14ac:dyDescent="0.15">
      <c r="A25" s="62"/>
      <c r="B25" s="4" t="s">
        <v>84</v>
      </c>
      <c r="C25" s="4"/>
      <c r="D25" s="13">
        <f>IF($D$3="上埋式",chazhi2(KS值表!$A$2:$E$9,$D$18,D24),chazhi2(KS值表!$A$12:$E$19,$D$18,D24))</f>
        <v>1.0249999999999999</v>
      </c>
      <c r="E25" s="13">
        <f>IF($D$3="上埋式",chazhi2(KS值表!$A$2:$E$9,$D$18,E24),chazhi2(KS值表!$A$12:$E$19,$D$18,E24))</f>
        <v>1.0249999999999999</v>
      </c>
      <c r="F25" s="13"/>
      <c r="G25" s="13"/>
      <c r="H25" s="13"/>
      <c r="I25" s="1" t="s">
        <v>85</v>
      </c>
    </row>
    <row r="26" spans="1:9" ht="15" customHeight="1" x14ac:dyDescent="0.15">
      <c r="A26" s="62"/>
      <c r="B26" s="4" t="s">
        <v>86</v>
      </c>
      <c r="C26" s="4"/>
      <c r="D26" s="91">
        <v>1.3</v>
      </c>
      <c r="E26" s="91">
        <v>1</v>
      </c>
      <c r="F26" s="91"/>
      <c r="G26" s="91"/>
      <c r="H26" s="91"/>
    </row>
    <row r="27" spans="1:9" ht="15" customHeight="1" x14ac:dyDescent="0.15">
      <c r="A27" s="62" t="s">
        <v>87</v>
      </c>
      <c r="B27" s="4" t="s">
        <v>88</v>
      </c>
      <c r="C27" s="4" t="s">
        <v>78</v>
      </c>
      <c r="D27" s="13">
        <f>IF(D11&lt;=D13,D26*D25*D16*(D13-D11)+D26*D25*(D16-D17)*D11,D26*D25*(D16-D17)*D13)</f>
        <v>16.7895</v>
      </c>
      <c r="E27" s="13">
        <f>IF(D11&lt;=D13,E26*E25*D16*(D13-D11)+E26*E25*(D16-D17)*D11,E26*E25*(D16-D17)*D13)</f>
        <v>12.914999999999999</v>
      </c>
      <c r="F27" s="13"/>
      <c r="G27" s="13"/>
      <c r="H27" s="13"/>
    </row>
    <row r="28" spans="1:9" ht="15" customHeight="1" x14ac:dyDescent="0.15">
      <c r="A28" s="62" t="s">
        <v>89</v>
      </c>
      <c r="B28" s="4"/>
      <c r="C28" s="4"/>
      <c r="D28" s="4"/>
      <c r="E28" s="4"/>
      <c r="F28" s="4"/>
      <c r="G28" s="4"/>
      <c r="H28" s="4"/>
    </row>
    <row r="29" spans="1:9" ht="15" customHeight="1" x14ac:dyDescent="0.15">
      <c r="A29" s="62" t="s">
        <v>90</v>
      </c>
      <c r="B29" s="4" t="s">
        <v>91</v>
      </c>
      <c r="C29" s="4" t="s">
        <v>92</v>
      </c>
      <c r="D29" s="4">
        <v>140</v>
      </c>
      <c r="E29" s="4">
        <v>140</v>
      </c>
      <c r="F29" s="91"/>
      <c r="G29" s="91"/>
      <c r="H29" s="91"/>
    </row>
    <row r="30" spans="1:9" ht="15" customHeight="1" x14ac:dyDescent="0.15">
      <c r="A30" s="62" t="s">
        <v>93</v>
      </c>
      <c r="B30" s="4" t="s">
        <v>94</v>
      </c>
      <c r="C30" s="4" t="s">
        <v>95</v>
      </c>
      <c r="D30" s="13">
        <f>D37*D39</f>
        <v>1.9316237101988101</v>
      </c>
      <c r="E30" s="13">
        <f>E37*E39</f>
        <v>1.9316237101988101</v>
      </c>
      <c r="F30" s="91"/>
      <c r="G30" s="91"/>
      <c r="H30" s="91"/>
    </row>
    <row r="31" spans="1:9" ht="15" customHeight="1" x14ac:dyDescent="0.15">
      <c r="A31" s="62" t="s">
        <v>96</v>
      </c>
      <c r="B31" s="4" t="s">
        <v>97</v>
      </c>
      <c r="C31" s="4" t="s">
        <v>35</v>
      </c>
      <c r="D31" s="4">
        <v>1.4</v>
      </c>
      <c r="E31" s="4">
        <v>1.4</v>
      </c>
      <c r="F31" s="91"/>
      <c r="G31" s="91"/>
      <c r="H31" s="91"/>
    </row>
    <row r="32" spans="1:9" ht="15" customHeight="1" x14ac:dyDescent="0.15">
      <c r="A32" s="62" t="s">
        <v>98</v>
      </c>
      <c r="B32" s="4" t="s">
        <v>99</v>
      </c>
      <c r="C32" s="4" t="s">
        <v>35</v>
      </c>
      <c r="D32" s="4">
        <v>1.8</v>
      </c>
      <c r="E32" s="4">
        <v>1.8</v>
      </c>
      <c r="F32" s="91"/>
      <c r="G32" s="91"/>
      <c r="H32" s="91"/>
    </row>
    <row r="33" spans="1:8" ht="15" customHeight="1" x14ac:dyDescent="0.15">
      <c r="A33" s="62" t="s">
        <v>100</v>
      </c>
      <c r="B33" s="4" t="s">
        <v>44</v>
      </c>
      <c r="C33" s="4" t="s">
        <v>35</v>
      </c>
      <c r="D33" s="4">
        <v>0.2</v>
      </c>
      <c r="E33" s="4">
        <v>0.2</v>
      </c>
      <c r="F33" s="91"/>
      <c r="G33" s="91"/>
      <c r="H33" s="91"/>
    </row>
    <row r="34" spans="1:8" ht="15" customHeight="1" x14ac:dyDescent="0.15">
      <c r="A34" s="62" t="s">
        <v>101</v>
      </c>
      <c r="B34" s="4" t="s">
        <v>102</v>
      </c>
      <c r="C34" s="4" t="s">
        <v>35</v>
      </c>
      <c r="D34" s="4">
        <v>0.6</v>
      </c>
      <c r="E34" s="4">
        <v>0.6</v>
      </c>
      <c r="F34" s="91"/>
      <c r="G34" s="91"/>
      <c r="H34" s="91"/>
    </row>
    <row r="35" spans="1:8" ht="15" customHeight="1" x14ac:dyDescent="0.15">
      <c r="A35" s="62" t="s">
        <v>103</v>
      </c>
      <c r="B35" s="4" t="s">
        <v>57</v>
      </c>
      <c r="C35" s="4" t="s">
        <v>104</v>
      </c>
      <c r="D35" s="4">
        <v>30</v>
      </c>
      <c r="E35" s="4">
        <v>30</v>
      </c>
      <c r="F35" s="91"/>
      <c r="G35" s="91"/>
      <c r="H35" s="91"/>
    </row>
    <row r="36" spans="1:8" ht="15" customHeight="1" x14ac:dyDescent="0.15">
      <c r="A36" s="62" t="s">
        <v>105</v>
      </c>
      <c r="B36" s="2" t="s">
        <v>106</v>
      </c>
      <c r="C36" s="4"/>
      <c r="D36" s="13">
        <f>D31/2/TAN(D35*PI()/180)</f>
        <v>1.2124355652982099</v>
      </c>
      <c r="E36" s="13">
        <f>E31/2/TAN(E35*PI()/180)</f>
        <v>1.2124355652982099</v>
      </c>
      <c r="F36" s="91"/>
      <c r="G36" s="91"/>
      <c r="H36" s="91"/>
    </row>
    <row r="37" spans="1:8" ht="15" customHeight="1" x14ac:dyDescent="0.15">
      <c r="A37" s="62" t="s">
        <v>107</v>
      </c>
      <c r="B37" s="4" t="s">
        <v>108</v>
      </c>
      <c r="C37" s="4"/>
      <c r="D37" s="13">
        <f>IF(D13&gt;D36,D33+2*D13*TAN(D35*PI()/180),D33/2+D31/2+D13*TAN(D35*PI()/180))</f>
        <v>1.2041451884327401</v>
      </c>
      <c r="E37" s="13">
        <f>IF(D13&gt;E36,E33+2*D13*TAN(E35*PI()/180),E33/2+E31/2+D13*TAN(E35*PI()/180))</f>
        <v>1.2041451884327401</v>
      </c>
      <c r="F37" s="91"/>
      <c r="G37" s="91"/>
      <c r="H37" s="91"/>
    </row>
    <row r="38" spans="1:8" ht="15" customHeight="1" x14ac:dyDescent="0.15">
      <c r="A38" s="62" t="s">
        <v>109</v>
      </c>
      <c r="B38" s="4" t="s">
        <v>110</v>
      </c>
      <c r="C38" s="4"/>
      <c r="D38" s="13">
        <f>D32/2/TAN(D35*PI()/180)</f>
        <v>1.55884572681199</v>
      </c>
      <c r="E38" s="13">
        <f>E32/2/TAN(E35*PI()/180)</f>
        <v>1.55884572681199</v>
      </c>
      <c r="F38" s="91"/>
      <c r="G38" s="91"/>
      <c r="H38" s="91"/>
    </row>
    <row r="39" spans="1:8" ht="15" customHeight="1" x14ac:dyDescent="0.15">
      <c r="A39" s="62" t="s">
        <v>111</v>
      </c>
      <c r="B39" s="4" t="s">
        <v>112</v>
      </c>
      <c r="C39" s="4"/>
      <c r="D39" s="13">
        <f>IF(D13&gt;D38,D34+2*D13*TAN(D35*PI()/180),D34/2+D32/2+D13*TAN(D35*PI()/180))</f>
        <v>1.60414518843274</v>
      </c>
      <c r="E39" s="13">
        <f>IF(D13&gt;E38,E34+2*D13*TAN(E35*PI()/180),E34/2+E32/2+D13*TAN(E35*PI()/180))</f>
        <v>1.60414518843274</v>
      </c>
      <c r="F39" s="91"/>
      <c r="G39" s="91"/>
      <c r="H39" s="91"/>
    </row>
    <row r="40" spans="1:8" ht="15" customHeight="1" x14ac:dyDescent="0.15">
      <c r="A40" s="96" t="s">
        <v>113</v>
      </c>
      <c r="B40" s="4" t="s">
        <v>114</v>
      </c>
      <c r="C40" s="4"/>
      <c r="D40" s="13">
        <v>1.4</v>
      </c>
      <c r="E40" s="13">
        <v>1.4</v>
      </c>
      <c r="F40" s="91"/>
      <c r="G40" s="91"/>
      <c r="H40" s="91"/>
    </row>
    <row r="41" spans="1:8" ht="15" customHeight="1" x14ac:dyDescent="0.15">
      <c r="A41" s="62" t="s">
        <v>115</v>
      </c>
      <c r="B41" s="4" t="s">
        <v>116</v>
      </c>
      <c r="C41" s="4" t="s">
        <v>117</v>
      </c>
      <c r="D41" s="97">
        <f>2*D29/D30*D40</f>
        <v>202.93807636045901</v>
      </c>
      <c r="E41" s="97">
        <f>2*E29/E30*E40</f>
        <v>202.93807636045901</v>
      </c>
      <c r="F41" s="13"/>
      <c r="G41" s="13"/>
      <c r="H41" s="13"/>
    </row>
    <row r="42" spans="1:8" ht="15" customHeight="1" x14ac:dyDescent="0.15">
      <c r="A42" s="62" t="s">
        <v>118</v>
      </c>
      <c r="B42" s="4"/>
      <c r="C42" s="4"/>
      <c r="D42" s="13"/>
      <c r="E42" s="4"/>
      <c r="F42" s="4"/>
      <c r="G42" s="4"/>
      <c r="H42" s="4"/>
    </row>
    <row r="43" spans="1:8" ht="15" customHeight="1" x14ac:dyDescent="0.15">
      <c r="A43" s="62"/>
      <c r="B43" s="4" t="s">
        <v>114</v>
      </c>
      <c r="C43" s="4"/>
      <c r="D43" s="91">
        <v>1.3</v>
      </c>
      <c r="E43" s="91">
        <v>1</v>
      </c>
      <c r="F43" s="91"/>
      <c r="G43" s="91"/>
      <c r="H43" s="91"/>
    </row>
    <row r="44" spans="1:8" ht="15" customHeight="1" x14ac:dyDescent="0.15">
      <c r="A44" s="62"/>
      <c r="B44" s="4" t="s">
        <v>119</v>
      </c>
      <c r="C44" s="4" t="s">
        <v>78</v>
      </c>
      <c r="D44" s="13">
        <f>D11*D17*D43</f>
        <v>0</v>
      </c>
      <c r="E44" s="13">
        <f>D11*D17*E43</f>
        <v>0</v>
      </c>
      <c r="F44" s="13"/>
      <c r="G44" s="13"/>
      <c r="H44" s="13"/>
    </row>
    <row r="45" spans="1:8" ht="15" customHeight="1" x14ac:dyDescent="0.15">
      <c r="A45" s="62" t="s">
        <v>120</v>
      </c>
      <c r="B45" s="4"/>
      <c r="C45" s="4"/>
      <c r="D45" s="13"/>
      <c r="E45" s="4"/>
      <c r="F45" s="4"/>
      <c r="G45" s="4"/>
      <c r="H45" s="4"/>
    </row>
    <row r="46" spans="1:8" ht="15" customHeight="1" x14ac:dyDescent="0.15">
      <c r="A46" s="62"/>
      <c r="B46" s="4" t="s">
        <v>86</v>
      </c>
      <c r="C46" s="4"/>
      <c r="D46" s="91">
        <v>1.1000000000000001</v>
      </c>
      <c r="E46" s="91">
        <v>1</v>
      </c>
      <c r="F46" s="91"/>
      <c r="G46" s="91"/>
      <c r="H46" s="91"/>
    </row>
    <row r="47" spans="1:8" ht="15" customHeight="1" x14ac:dyDescent="0.15">
      <c r="A47" s="62"/>
      <c r="B47" s="4" t="s">
        <v>121</v>
      </c>
      <c r="C47" s="4" t="s">
        <v>78</v>
      </c>
      <c r="D47" s="4">
        <f>D46*D15*D5</f>
        <v>22</v>
      </c>
      <c r="E47" s="4">
        <f>E46*D15*D5</f>
        <v>20</v>
      </c>
      <c r="F47" s="4"/>
      <c r="G47" s="4"/>
      <c r="H47" s="4"/>
    </row>
    <row r="48" spans="1:8" ht="15" customHeight="1" x14ac:dyDescent="0.15">
      <c r="A48" s="62" t="s">
        <v>122</v>
      </c>
      <c r="B48" s="4"/>
      <c r="C48" s="4"/>
      <c r="D48" s="4"/>
      <c r="E48" s="4"/>
      <c r="F48" s="4"/>
      <c r="G48" s="4"/>
      <c r="H48" s="4"/>
    </row>
    <row r="49" spans="1:8" ht="15" customHeight="1" x14ac:dyDescent="0.15">
      <c r="A49" s="62" t="s">
        <v>123</v>
      </c>
      <c r="B49" s="4" t="s">
        <v>124</v>
      </c>
      <c r="C49" s="4" t="s">
        <v>78</v>
      </c>
      <c r="D49" s="98">
        <f>D53+D57</f>
        <v>19.735196615867899</v>
      </c>
      <c r="E49" s="98">
        <f>E53+E57</f>
        <v>15.1809204737445</v>
      </c>
      <c r="F49" s="95"/>
      <c r="G49" s="95"/>
      <c r="H49" s="95"/>
    </row>
    <row r="50" spans="1:8" ht="15" customHeight="1" x14ac:dyDescent="0.15">
      <c r="A50" s="62" t="s">
        <v>125</v>
      </c>
      <c r="B50" s="4"/>
      <c r="C50" s="4"/>
      <c r="D50" s="4"/>
      <c r="E50" s="4"/>
      <c r="F50" s="4"/>
      <c r="G50" s="4"/>
      <c r="H50" s="4"/>
    </row>
    <row r="51" spans="1:8" ht="15" customHeight="1" x14ac:dyDescent="0.15">
      <c r="A51" s="62" t="s">
        <v>126</v>
      </c>
      <c r="B51" s="4" t="s">
        <v>127</v>
      </c>
      <c r="C51" s="4" t="s">
        <v>78</v>
      </c>
      <c r="D51" s="98">
        <f>D54+D58</f>
        <v>180.90463167796599</v>
      </c>
      <c r="E51" s="98">
        <f>E54+E58</f>
        <v>139.157408983051</v>
      </c>
      <c r="F51" s="95"/>
      <c r="G51" s="95"/>
      <c r="H51" s="95"/>
    </row>
    <row r="52" spans="1:8" ht="15" customHeight="1" x14ac:dyDescent="0.15">
      <c r="A52" s="62" t="s">
        <v>128</v>
      </c>
      <c r="B52" s="4"/>
      <c r="C52" s="4"/>
      <c r="D52" s="4"/>
      <c r="E52" s="4"/>
      <c r="F52" s="4"/>
      <c r="G52" s="4"/>
      <c r="H52" s="4"/>
    </row>
    <row r="53" spans="1:8" ht="15" customHeight="1" x14ac:dyDescent="0.15">
      <c r="A53" s="62" t="s">
        <v>129</v>
      </c>
      <c r="B53" s="4" t="s">
        <v>130</v>
      </c>
      <c r="C53" s="4" t="s">
        <v>78</v>
      </c>
      <c r="D53" s="13">
        <f>IF(D11&lt;=D13,D26*D16*(D13-D11)*TAN((RADIANS(45-D14/2)))^2+D26*D25*(D16-D17)*(D11+D5/2)*TAN((RADIANS(45-D14/2)))^2,D26*(D16-D17)*(D13+D5/2)*TAN((RADIANS(45-D14/2)))^2)</f>
        <v>14.5351966158679</v>
      </c>
      <c r="E53" s="13">
        <f>IF(D11&lt;=D13,E26*D16*(D13-D11)*TAN((RADIANS(45-D14/2)))^2+E26*E25*(D16-D17)*(D11+D5/2)*TAN((RADIANS(45-D14/2)))^2,E26*(D16-D17)*(D13+D5/2)*TAN((RADIANS(45-D14/2)))^2)</f>
        <v>11.1809204737445</v>
      </c>
      <c r="F53" s="13"/>
      <c r="G53" s="13"/>
      <c r="H53" s="13"/>
    </row>
    <row r="54" spans="1:8" ht="15" customHeight="1" x14ac:dyDescent="0.15">
      <c r="A54" s="62" t="s">
        <v>131</v>
      </c>
      <c r="B54" s="4" t="s">
        <v>132</v>
      </c>
      <c r="C54" s="4" t="s">
        <v>78</v>
      </c>
      <c r="D54" s="13">
        <f>IF(D11&lt;=D13,D26*(D16-D17)*(D4/2+D5+D12+D11)*TAN((RADIANS(45-D14/2)))^2+D26*D25*D16*(D13-D11)*TAN((RADIANS(45-D14/2)))^2,D26*(D16-D17)*(D13+D4/2+D5+D12)*TAN((RADIANS(45-D14/2)))^2)</f>
        <v>72.744631677965998</v>
      </c>
      <c r="E54" s="13">
        <f>IF(D11&lt;=D13,E26*(D16-D17)*(D4/2+D5+D12+D11)*TAN((RADIANS(45-D14/2)))^2+E26*E25*D16*(D13-D11)*TAN((RADIANS(45-D14/2)))^2,E26*(D16-D17)*(D13+D4/2+D5+D12)*TAN((RADIANS(45-D14/2)))^2)</f>
        <v>55.957408983050797</v>
      </c>
      <c r="F54" s="13"/>
      <c r="G54" s="13"/>
      <c r="H54" s="13"/>
    </row>
    <row r="55" spans="1:8" ht="15" customHeight="1" x14ac:dyDescent="0.15">
      <c r="A55" s="62" t="s">
        <v>133</v>
      </c>
      <c r="B55" s="4"/>
      <c r="C55" s="4"/>
      <c r="D55" s="4"/>
      <c r="E55" s="4"/>
      <c r="F55" s="4"/>
      <c r="G55" s="4"/>
      <c r="H55" s="4"/>
    </row>
    <row r="56" spans="1:8" ht="15" customHeight="1" x14ac:dyDescent="0.15">
      <c r="A56" s="62"/>
      <c r="B56" s="4" t="s">
        <v>114</v>
      </c>
      <c r="C56" s="4"/>
      <c r="D56" s="91">
        <v>1.3</v>
      </c>
      <c r="E56" s="91">
        <v>1</v>
      </c>
      <c r="F56" s="91"/>
      <c r="G56" s="91"/>
      <c r="H56" s="91"/>
    </row>
    <row r="57" spans="1:8" ht="15" customHeight="1" x14ac:dyDescent="0.15">
      <c r="A57" s="62" t="s">
        <v>134</v>
      </c>
      <c r="B57" s="4" t="s">
        <v>135</v>
      </c>
      <c r="C57" s="4" t="s">
        <v>78</v>
      </c>
      <c r="D57" s="13">
        <f>D56*(D11+D5/2)*D17</f>
        <v>5.2</v>
      </c>
      <c r="E57" s="13">
        <f>E56*(D11+D5/2)*D17</f>
        <v>4</v>
      </c>
      <c r="F57" s="13"/>
      <c r="G57" s="13"/>
      <c r="H57" s="13"/>
    </row>
    <row r="58" spans="1:8" ht="15" customHeight="1" x14ac:dyDescent="0.15">
      <c r="A58" s="62" t="s">
        <v>136</v>
      </c>
      <c r="B58" s="4" t="s">
        <v>137</v>
      </c>
      <c r="C58" s="4" t="s">
        <v>78</v>
      </c>
      <c r="D58" s="13">
        <f>D56*(D4/2+D5+D11+D12)*D17</f>
        <v>108.16</v>
      </c>
      <c r="E58" s="13">
        <f>E56*(D4/2+D5+D11+D12)*D17</f>
        <v>83.2</v>
      </c>
      <c r="F58" s="13"/>
      <c r="G58" s="13"/>
      <c r="H58" s="13"/>
    </row>
    <row r="59" spans="1:8" ht="15" customHeight="1" x14ac:dyDescent="0.15">
      <c r="A59" s="4" t="s">
        <v>138</v>
      </c>
      <c r="B59" s="4"/>
      <c r="C59" s="4"/>
      <c r="D59" s="4"/>
      <c r="E59" s="4"/>
      <c r="F59" s="4"/>
      <c r="G59" s="4"/>
      <c r="H59" s="4"/>
    </row>
    <row r="60" spans="1:8" ht="24.75" customHeight="1" x14ac:dyDescent="0.15">
      <c r="A60" s="62"/>
      <c r="B60" s="4" t="s">
        <v>139</v>
      </c>
      <c r="C60" s="4" t="s">
        <v>78</v>
      </c>
      <c r="D60" s="13">
        <f>D22+D46*2*D15*(D6+D7)*D12/D10+D46*D4*D15</f>
        <v>319.67043350331602</v>
      </c>
      <c r="E60" s="13">
        <f>E22+E46*2*D15*(D6+D7)*D12/D10+E46*D4*D15</f>
        <v>306.710219217602</v>
      </c>
      <c r="F60" s="95"/>
      <c r="G60" s="95"/>
      <c r="H60" s="99" t="s">
        <v>140</v>
      </c>
    </row>
  </sheetData>
  <phoneticPr fontId="13" type="noConversion"/>
  <dataValidations count="1">
    <dataValidation type="list" allowBlank="1" showInputMessage="1" showErrorMessage="1" sqref="D3" xr:uid="{00000000-0002-0000-0100-000000000000}">
      <formula1>"上埋式,沟埋式"</formula1>
    </dataValidation>
  </dataValidations>
  <pageMargins left="0.75" right="0.75" top="1" bottom="1" header="0.5" footer="0.5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1"/>
  <dimension ref="A1:G73"/>
  <sheetViews>
    <sheetView tabSelected="1" view="pageBreakPreview" zoomScaleNormal="100" workbookViewId="0">
      <selection activeCell="A55" sqref="A55"/>
    </sheetView>
  </sheetViews>
  <sheetFormatPr defaultColWidth="9" defaultRowHeight="12" x14ac:dyDescent="0.15"/>
  <cols>
    <col min="1" max="1" width="10.375" style="57" customWidth="1"/>
    <col min="2" max="2" width="11" style="57" customWidth="1"/>
    <col min="3" max="4" width="9" style="57"/>
    <col min="5" max="7" width="10.625" style="57"/>
    <col min="8" max="16384" width="9" style="57"/>
  </cols>
  <sheetData>
    <row r="1" spans="1:7" x14ac:dyDescent="0.15">
      <c r="B1" s="57" t="s">
        <v>141</v>
      </c>
    </row>
    <row r="2" spans="1:7" x14ac:dyDescent="0.15">
      <c r="A2" s="4" t="s">
        <v>26</v>
      </c>
      <c r="B2" s="4" t="s">
        <v>28</v>
      </c>
      <c r="C2" s="4" t="s">
        <v>29</v>
      </c>
      <c r="E2" s="57" t="s">
        <v>142</v>
      </c>
    </row>
    <row r="3" spans="1:7" ht="36" x14ac:dyDescent="0.15">
      <c r="A3" s="3" t="s">
        <v>143</v>
      </c>
      <c r="B3" s="4" t="s">
        <v>78</v>
      </c>
      <c r="C3" s="4">
        <f>'1.荷载计算'!D60</f>
        <v>319.67043350331602</v>
      </c>
      <c r="D3" s="120" t="s">
        <v>267</v>
      </c>
      <c r="E3" s="57">
        <f>C4*C8</f>
        <v>580.14618326510197</v>
      </c>
    </row>
    <row r="4" spans="1:7" x14ac:dyDescent="0.15">
      <c r="A4" s="3" t="s">
        <v>144</v>
      </c>
      <c r="B4" s="4" t="s">
        <v>78</v>
      </c>
      <c r="C4" s="4">
        <f>'1.荷载计算'!D22</f>
        <v>241.72757636045901</v>
      </c>
      <c r="D4" s="119" t="s">
        <v>268</v>
      </c>
      <c r="E4" s="57" t="s">
        <v>145</v>
      </c>
    </row>
    <row r="5" spans="1:7" x14ac:dyDescent="0.15">
      <c r="A5" s="3" t="s">
        <v>146</v>
      </c>
      <c r="B5" s="4" t="s">
        <v>78</v>
      </c>
      <c r="C5" s="4">
        <f>'1.荷载计算'!D49</f>
        <v>19.735196615867899</v>
      </c>
      <c r="E5" s="58">
        <f>((C6-C5)/2/3+C5/2)*C9</f>
        <v>290.89503288080601</v>
      </c>
    </row>
    <row r="6" spans="1:7" x14ac:dyDescent="0.15">
      <c r="A6" s="3" t="s">
        <v>147</v>
      </c>
      <c r="B6" s="4" t="s">
        <v>78</v>
      </c>
      <c r="C6" s="4">
        <f>'1.荷载计算'!D51</f>
        <v>180.90463167796599</v>
      </c>
      <c r="E6" s="57">
        <f>((C6-C5)*0.5+C5)*C9</f>
        <v>794.53372004358198</v>
      </c>
    </row>
    <row r="7" spans="1:7" x14ac:dyDescent="0.15">
      <c r="A7" s="3" t="s">
        <v>43</v>
      </c>
      <c r="B7" s="4" t="s">
        <v>35</v>
      </c>
      <c r="C7" s="4">
        <f>'1.荷载计算'!D8</f>
        <v>0.4</v>
      </c>
    </row>
    <row r="8" spans="1:7" x14ac:dyDescent="0.15">
      <c r="A8" s="3" t="s">
        <v>148</v>
      </c>
      <c r="B8" s="4" t="s">
        <v>35</v>
      </c>
      <c r="C8" s="4">
        <f>('1.荷载计算'!D9+'1.荷载计算'!D6)/2</f>
        <v>2.4</v>
      </c>
    </row>
    <row r="9" spans="1:7" x14ac:dyDescent="0.15">
      <c r="A9" s="3" t="s">
        <v>149</v>
      </c>
      <c r="B9" s="4" t="s">
        <v>35</v>
      </c>
      <c r="C9" s="4">
        <f>'1.荷载计算'!D12+('1.荷载计算'!D4+'1.荷载计算'!D5)/2</f>
        <v>7.92</v>
      </c>
    </row>
    <row r="10" spans="1:7" x14ac:dyDescent="0.15">
      <c r="A10" s="3" t="s">
        <v>150</v>
      </c>
      <c r="B10" s="4" t="s">
        <v>35</v>
      </c>
      <c r="C10" s="4">
        <f>'1.荷载计算'!D4</f>
        <v>0.8</v>
      </c>
    </row>
    <row r="11" spans="1:7" x14ac:dyDescent="0.15">
      <c r="A11" s="3" t="s">
        <v>151</v>
      </c>
      <c r="B11" s="4" t="s">
        <v>35</v>
      </c>
      <c r="C11" s="4">
        <f>'1.荷载计算'!D5</f>
        <v>0.8</v>
      </c>
    </row>
    <row r="12" spans="1:7" x14ac:dyDescent="0.15">
      <c r="A12" s="3" t="s">
        <v>152</v>
      </c>
      <c r="B12" s="4" t="s">
        <v>35</v>
      </c>
      <c r="C12" s="4">
        <f>'1.荷载计算'!D6</f>
        <v>0.8</v>
      </c>
    </row>
    <row r="13" spans="1:7" x14ac:dyDescent="0.15">
      <c r="A13" s="56" t="s">
        <v>153</v>
      </c>
      <c r="B13" s="2"/>
      <c r="C13" s="2"/>
    </row>
    <row r="14" spans="1:7" x14ac:dyDescent="0.15">
      <c r="A14" s="56" t="s">
        <v>154</v>
      </c>
      <c r="B14" s="2"/>
      <c r="C14" s="2"/>
    </row>
    <row r="15" spans="1:7" hidden="1" x14ac:dyDescent="0.15">
      <c r="B15" s="57" t="s">
        <v>155</v>
      </c>
    </row>
    <row r="16" spans="1:7" hidden="1" x14ac:dyDescent="0.15">
      <c r="A16" s="59" t="s">
        <v>156</v>
      </c>
      <c r="B16" s="19" t="s">
        <v>157</v>
      </c>
      <c r="C16" s="60" t="s">
        <v>158</v>
      </c>
      <c r="D16" s="60" t="s">
        <v>46</v>
      </c>
      <c r="E16" s="60"/>
      <c r="F16" s="60" t="s">
        <v>94</v>
      </c>
      <c r="G16" s="22" t="s">
        <v>159</v>
      </c>
    </row>
    <row r="17" spans="1:7" hidden="1" x14ac:dyDescent="0.15">
      <c r="A17" s="61" t="s">
        <v>160</v>
      </c>
      <c r="B17" s="24" t="s">
        <v>161</v>
      </c>
      <c r="C17" s="24" t="s">
        <v>162</v>
      </c>
      <c r="D17" s="24" t="s">
        <v>163</v>
      </c>
      <c r="E17" s="24" t="s">
        <v>164</v>
      </c>
      <c r="F17" s="24" t="s">
        <v>165</v>
      </c>
      <c r="G17" s="27" t="s">
        <v>166</v>
      </c>
    </row>
    <row r="18" spans="1:7" hidden="1" x14ac:dyDescent="0.15">
      <c r="A18" s="61" t="s">
        <v>167</v>
      </c>
      <c r="B18" s="62"/>
      <c r="C18" s="62">
        <f>C10^3/12/C8</f>
        <v>1.7777777777777799E-2</v>
      </c>
      <c r="D18" s="62">
        <f>4*C12^3/12/C9</f>
        <v>2.1548821548821599E-2</v>
      </c>
      <c r="E18" s="62">
        <f>D18</f>
        <v>2.1548821548821599E-2</v>
      </c>
      <c r="F18" s="62">
        <f>C11^3/12/C8</f>
        <v>1.7777777777777799E-2</v>
      </c>
      <c r="G18" s="63"/>
    </row>
    <row r="19" spans="1:7" hidden="1" x14ac:dyDescent="0.15">
      <c r="A19" s="61" t="s">
        <v>168</v>
      </c>
      <c r="B19" s="62"/>
      <c r="C19" s="62">
        <f>C18/(C18+D18)</f>
        <v>0.45205479452054764</v>
      </c>
      <c r="D19" s="62">
        <f>D18/(C18+D18)</f>
        <v>0.54794520547945236</v>
      </c>
      <c r="E19" s="62">
        <f>E18/(E18+F18)</f>
        <v>0.54794520547945236</v>
      </c>
      <c r="F19" s="62">
        <f>F18/(E18+F18)</f>
        <v>0.45205479452054764</v>
      </c>
      <c r="G19" s="63"/>
    </row>
    <row r="20" spans="1:7" hidden="1" x14ac:dyDescent="0.15">
      <c r="A20" s="33" t="s">
        <v>169</v>
      </c>
      <c r="B20" s="64">
        <f>C3*C8^2/6</f>
        <v>306.883616163184</v>
      </c>
      <c r="C20" s="65">
        <f>C3*C8^2/3</f>
        <v>613.76723232636698</v>
      </c>
      <c r="D20" s="66">
        <f>-C5*C9^2/12-(C6-C5)*C9^2/20</f>
        <v>-608.63874232442402</v>
      </c>
      <c r="E20" s="64">
        <f>C5*C9^2/12+(C6-C5)*C9^2/30</f>
        <v>440.14576813310401</v>
      </c>
      <c r="F20" s="66">
        <f>-C4*C8^2/3</f>
        <v>-464.11694661208099</v>
      </c>
      <c r="G20" s="67">
        <f>-C4*C8^2/6</f>
        <v>-232.05847330604101</v>
      </c>
    </row>
    <row r="21" spans="1:7" hidden="1" x14ac:dyDescent="0.15">
      <c r="A21" s="68"/>
      <c r="B21" s="69"/>
      <c r="C21" s="69"/>
      <c r="D21" s="69">
        <f>E21/2</f>
        <v>6.5674461586238344</v>
      </c>
      <c r="E21" s="70">
        <f>-(E20+F20)*E19</f>
        <v>13.134892317247669</v>
      </c>
      <c r="F21" s="71">
        <f>-(E20+F20)*F19</f>
        <v>10.836286161729312</v>
      </c>
      <c r="G21" s="72">
        <f>-F21</f>
        <v>-10.836286161729312</v>
      </c>
    </row>
    <row r="22" spans="1:7" hidden="1" x14ac:dyDescent="0.15">
      <c r="A22" s="73"/>
      <c r="B22" s="70">
        <f>-C22</f>
        <v>5.2872040177904669</v>
      </c>
      <c r="C22" s="70">
        <f>-(C20+D20+D21)*C19</f>
        <v>-5.2872040177904669</v>
      </c>
      <c r="D22" s="70">
        <f>-(C20+D20+D21)*D19</f>
        <v>-6.4087321427763317</v>
      </c>
      <c r="E22" s="74">
        <f>D22/2</f>
        <v>-3.2043660713881659</v>
      </c>
      <c r="F22" s="74"/>
      <c r="G22" s="72"/>
    </row>
    <row r="23" spans="1:7" hidden="1" x14ac:dyDescent="0.15">
      <c r="A23" s="73"/>
      <c r="B23" s="74"/>
      <c r="C23" s="74"/>
      <c r="D23" s="74">
        <f>E23/2</f>
        <v>0.87790851270908699</v>
      </c>
      <c r="E23" s="70">
        <f>-E22*E19</f>
        <v>1.755817025418174</v>
      </c>
      <c r="F23" s="70">
        <f>-E22*F19</f>
        <v>1.4485490459699919</v>
      </c>
      <c r="G23" s="72">
        <f>-F23</f>
        <v>-1.4485490459699919</v>
      </c>
    </row>
    <row r="24" spans="1:7" hidden="1" x14ac:dyDescent="0.15">
      <c r="A24" s="73"/>
      <c r="B24" s="70">
        <f>-C24</f>
        <v>0.39686275232054591</v>
      </c>
      <c r="C24" s="70">
        <f>-D23*C19</f>
        <v>-0.39686275232054591</v>
      </c>
      <c r="D24" s="70">
        <f>-D23*D19</f>
        <v>-0.48104576038854108</v>
      </c>
      <c r="E24" s="74">
        <f>D24/2</f>
        <v>-0.24052288019427054</v>
      </c>
      <c r="F24" s="74"/>
      <c r="G24" s="72"/>
    </row>
    <row r="25" spans="1:7" hidden="1" x14ac:dyDescent="0.15">
      <c r="A25" s="73"/>
      <c r="B25" s="74"/>
      <c r="C25" s="74"/>
      <c r="D25" s="74">
        <f>E25/2</f>
        <v>6.5896679505279637E-2</v>
      </c>
      <c r="E25" s="70">
        <f>-E24*E19</f>
        <v>0.13179335901055927</v>
      </c>
      <c r="F25" s="70">
        <f>-E24*F19</f>
        <v>0.10872952118371126</v>
      </c>
      <c r="G25" s="72">
        <f>-F25</f>
        <v>-0.10872952118371126</v>
      </c>
    </row>
    <row r="26" spans="1:7" hidden="1" x14ac:dyDescent="0.15">
      <c r="A26" s="73"/>
      <c r="B26" s="74">
        <f>-C26</f>
        <v>2.9788909913345568E-2</v>
      </c>
      <c r="C26" s="70">
        <f>-C19*D25</f>
        <v>-2.9788909913345568E-2</v>
      </c>
      <c r="D26" s="70">
        <f>-D19*D25</f>
        <v>-3.6107769591934069E-2</v>
      </c>
      <c r="E26" s="74">
        <f>D26/2</f>
        <v>-1.8053884795967035E-2</v>
      </c>
      <c r="F26" s="74"/>
      <c r="G26" s="72"/>
    </row>
    <row r="27" spans="1:7" hidden="1" x14ac:dyDescent="0.15">
      <c r="A27" s="75"/>
      <c r="B27" s="76"/>
      <c r="C27" s="76"/>
      <c r="D27" s="76"/>
      <c r="E27" s="76">
        <f>-E19*E26</f>
        <v>9.8925396142285175E-3</v>
      </c>
      <c r="F27" s="76">
        <f>-F19*E26</f>
        <v>8.161345181738517E-3</v>
      </c>
      <c r="G27" s="77"/>
    </row>
    <row r="28" spans="1:7" hidden="1" x14ac:dyDescent="0.15">
      <c r="A28" s="78" t="s">
        <v>170</v>
      </c>
      <c r="B28" s="79">
        <f>SUM(B20:B26)</f>
        <v>312.59747184320838</v>
      </c>
      <c r="C28" s="79">
        <f>SUM(C20:C26)</f>
        <v>608.0533766463426</v>
      </c>
      <c r="D28" s="80">
        <f>SUM(D20:D26)</f>
        <v>-608.0533766463426</v>
      </c>
      <c r="E28" s="79">
        <f>SUM(E20:E27)</f>
        <v>451.71522053801624</v>
      </c>
      <c r="F28" s="80">
        <f>SUM(F20:F27)</f>
        <v>-451.71522053801624</v>
      </c>
      <c r="G28" s="81">
        <f>SUM(G20:G25)</f>
        <v>-244.45203803492402</v>
      </c>
    </row>
    <row r="29" spans="1:7" s="56" customFormat="1" hidden="1" x14ac:dyDescent="0.15">
      <c r="A29" s="57" t="s">
        <v>171</v>
      </c>
    </row>
    <row r="30" spans="1:7" s="56" customFormat="1" hidden="1" x14ac:dyDescent="0.15">
      <c r="A30" s="57" t="s">
        <v>172</v>
      </c>
    </row>
    <row r="32" spans="1:7" x14ac:dyDescent="0.15">
      <c r="A32" s="57" t="s">
        <v>173</v>
      </c>
    </row>
    <row r="33" spans="1:6" s="17" customFormat="1" x14ac:dyDescent="0.15">
      <c r="A33" s="47" t="s">
        <v>174</v>
      </c>
      <c r="B33" s="19" t="s">
        <v>175</v>
      </c>
      <c r="C33" s="19" t="s">
        <v>176</v>
      </c>
      <c r="D33" s="22" t="s">
        <v>177</v>
      </c>
      <c r="E33" s="1" t="s">
        <v>178</v>
      </c>
    </row>
    <row r="34" spans="1:6" s="2" customFormat="1" x14ac:dyDescent="0.15">
      <c r="A34" s="48">
        <f>-C3*C8*2/2</f>
        <v>-767.20904040795904</v>
      </c>
      <c r="B34" s="49">
        <f>C6*C9/2-(C6-C5)*C9/6-(E28+D28)/C9</f>
        <v>523.37835333806947</v>
      </c>
      <c r="C34" s="49">
        <f>-C6*C9/2+(C6-C5)*C9/3-(E28+D28)/C9</f>
        <v>-271.15536670551256</v>
      </c>
      <c r="D34" s="50">
        <f>C4*C8*2/2</f>
        <v>580.14618326510197</v>
      </c>
      <c r="E34" s="1" t="s">
        <v>179</v>
      </c>
    </row>
    <row r="35" spans="1:6" s="2" customFormat="1" x14ac:dyDescent="0.15">
      <c r="A35" s="47" t="s">
        <v>180</v>
      </c>
      <c r="B35" s="82" t="s">
        <v>181</v>
      </c>
      <c r="C35" s="19" t="s">
        <v>182</v>
      </c>
      <c r="D35" s="83" t="s">
        <v>183</v>
      </c>
      <c r="E35" s="1" t="s">
        <v>184</v>
      </c>
    </row>
    <row r="36" spans="1:6" s="2" customFormat="1" x14ac:dyDescent="0.15">
      <c r="A36" s="51">
        <f>-C28-A34*(C7+C12/2)-C3*(C7+C12/2)^2/2</f>
        <v>-96.580683041036536</v>
      </c>
      <c r="B36" s="52">
        <f>B28</f>
        <v>312.59747184320838</v>
      </c>
      <c r="C36" s="53">
        <f>F28+D34*(C7+C12/2)-C4*(C7+C12/2)^2/2</f>
        <v>-64.951098361281524</v>
      </c>
      <c r="D36" s="54">
        <f>G28</f>
        <v>-244.45203803492402</v>
      </c>
      <c r="E36" s="1" t="s">
        <v>185</v>
      </c>
    </row>
    <row r="37" spans="1:6" s="2" customFormat="1" x14ac:dyDescent="0.15">
      <c r="A37" s="47" t="s">
        <v>186</v>
      </c>
      <c r="B37" s="19" t="s">
        <v>187</v>
      </c>
      <c r="C37" s="19" t="s">
        <v>188</v>
      </c>
      <c r="D37" s="22" t="s">
        <v>189</v>
      </c>
      <c r="E37" s="1" t="s">
        <v>190</v>
      </c>
    </row>
    <row r="38" spans="1:6" s="2" customFormat="1" x14ac:dyDescent="0.15">
      <c r="A38" s="48">
        <f>D28+B34*(C9-C11/2-C7)-C6*(C9-C11/2-C7)^2/2+(C6-C5)*(C9-C11/2-C7)^3/6/C9</f>
        <v>-242.84269578832345</v>
      </c>
      <c r="B38" s="49">
        <f>D28+B34*(C10/2+C7)-C6*(C10/2+C7)^2/2+(C6-C5)*(C10/2+C7)^3/6/C9</f>
        <v>-245.50367041519738</v>
      </c>
      <c r="C38" s="49">
        <f>C9*(ABS(C6)-(C6^2-2*ABS(B34)*ABS(C6-C5)/C9)^0.5)/ABS(C6-C5)</f>
        <v>3.637174154421166</v>
      </c>
      <c r="D38" s="50">
        <f>D28+B34*C38-C6*C38^2/2+(C6-C5)*C38^3/6/C9</f>
        <v>262.15979414906883</v>
      </c>
      <c r="E38" s="1" t="s">
        <v>191</v>
      </c>
    </row>
    <row r="39" spans="1:6" x14ac:dyDescent="0.15">
      <c r="E39" s="57" t="s">
        <v>192</v>
      </c>
    </row>
    <row r="42" spans="1:6" x14ac:dyDescent="0.15">
      <c r="B42" s="57" t="s">
        <v>193</v>
      </c>
    </row>
    <row r="43" spans="1:6" x14ac:dyDescent="0.15">
      <c r="A43" s="4" t="s">
        <v>26</v>
      </c>
      <c r="B43" s="4" t="s">
        <v>194</v>
      </c>
      <c r="C43" s="4" t="s">
        <v>195</v>
      </c>
      <c r="D43" s="4" t="s">
        <v>196</v>
      </c>
      <c r="E43" s="4" t="s">
        <v>197</v>
      </c>
    </row>
    <row r="44" spans="1:6" x14ac:dyDescent="0.15">
      <c r="A44" s="113" t="s">
        <v>198</v>
      </c>
      <c r="B44" s="4" t="s">
        <v>199</v>
      </c>
      <c r="C44" s="13">
        <f>IF(G28&lt;1,G28*-1,G28)</f>
        <v>244.45203803492402</v>
      </c>
      <c r="D44" s="13">
        <f>IF(B28&lt;1,B28*-1,B28)</f>
        <v>312.59747184320838</v>
      </c>
      <c r="E44" s="13">
        <f>D38</f>
        <v>262.15979414906883</v>
      </c>
    </row>
    <row r="45" spans="1:6" x14ac:dyDescent="0.15">
      <c r="A45" s="113"/>
      <c r="B45" s="113" t="s">
        <v>200</v>
      </c>
      <c r="C45" s="114">
        <f>C36</f>
        <v>-64.951098361281524</v>
      </c>
      <c r="D45" s="114">
        <f>A36</f>
        <v>-96.580683041036536</v>
      </c>
      <c r="E45" s="13">
        <f>A38</f>
        <v>-242.84269578832345</v>
      </c>
      <c r="F45" s="4" t="s">
        <v>201</v>
      </c>
    </row>
    <row r="46" spans="1:6" x14ac:dyDescent="0.15">
      <c r="A46" s="113"/>
      <c r="B46" s="113"/>
      <c r="C46" s="114"/>
      <c r="D46" s="114"/>
      <c r="E46" s="13">
        <f>B38</f>
        <v>-245.50367041519738</v>
      </c>
      <c r="F46" s="4" t="s">
        <v>202</v>
      </c>
    </row>
    <row r="47" spans="1:6" x14ac:dyDescent="0.15">
      <c r="A47" s="113" t="s">
        <v>203</v>
      </c>
      <c r="B47" s="113"/>
      <c r="C47" s="114">
        <f>D34</f>
        <v>580.14618326510197</v>
      </c>
      <c r="D47" s="114">
        <f>A34*-1</f>
        <v>767.20904040795904</v>
      </c>
      <c r="E47" s="13">
        <f>C34</f>
        <v>-271.15536670551256</v>
      </c>
      <c r="F47" s="4" t="s">
        <v>201</v>
      </c>
    </row>
    <row r="48" spans="1:6" x14ac:dyDescent="0.15">
      <c r="A48" s="113"/>
      <c r="B48" s="113"/>
      <c r="C48" s="114"/>
      <c r="D48" s="114"/>
      <c r="E48" s="13">
        <f>B34</f>
        <v>523.37835333806947</v>
      </c>
      <c r="F48" s="4" t="s">
        <v>202</v>
      </c>
    </row>
    <row r="49" spans="1:6" x14ac:dyDescent="0.15">
      <c r="A49" s="113" t="s">
        <v>204</v>
      </c>
      <c r="B49" s="113"/>
      <c r="C49" s="115">
        <f>C34*-1</f>
        <v>271.15536670551256</v>
      </c>
      <c r="D49" s="115">
        <f>B34</f>
        <v>523.37835333806947</v>
      </c>
      <c r="E49" s="13">
        <f>D34</f>
        <v>580.14618326510197</v>
      </c>
      <c r="F49" s="4" t="s">
        <v>201</v>
      </c>
    </row>
    <row r="50" spans="1:6" x14ac:dyDescent="0.15">
      <c r="A50" s="113"/>
      <c r="B50" s="113"/>
      <c r="C50" s="115"/>
      <c r="D50" s="115"/>
      <c r="E50" s="13">
        <f>A34*-1</f>
        <v>767.20904040795904</v>
      </c>
      <c r="F50" s="4" t="s">
        <v>202</v>
      </c>
    </row>
    <row r="51" spans="1:6" x14ac:dyDescent="0.15">
      <c r="C51" s="2" t="s">
        <v>205</v>
      </c>
      <c r="D51" s="2" t="s">
        <v>205</v>
      </c>
      <c r="E51" s="2" t="s">
        <v>205</v>
      </c>
    </row>
    <row r="53" spans="1:6" x14ac:dyDescent="0.15">
      <c r="A53" s="57" t="s">
        <v>206</v>
      </c>
    </row>
    <row r="54" spans="1:6" x14ac:dyDescent="0.15">
      <c r="A54" s="47" t="s">
        <v>174</v>
      </c>
      <c r="B54" s="19" t="s">
        <v>175</v>
      </c>
      <c r="C54" s="19" t="s">
        <v>176</v>
      </c>
      <c r="D54" s="22" t="s">
        <v>177</v>
      </c>
      <c r="E54" s="1" t="s">
        <v>178</v>
      </c>
    </row>
    <row r="55" spans="1:6" x14ac:dyDescent="0.15">
      <c r="A55" s="48">
        <f>-C3*C8*2/2</f>
        <v>-767.20904040795904</v>
      </c>
      <c r="B55" s="49">
        <f>C6*C9/2-(C6-C5)*C9/6-(E28+D28)/C9</f>
        <v>523.37835333806947</v>
      </c>
      <c r="C55" s="49">
        <f>-C6*C9/2+(C6-C5)*C9/3-(E28+D28)/C9</f>
        <v>-271.15536670551256</v>
      </c>
      <c r="D55" s="50">
        <f>C4*C8*2/2</f>
        <v>580.14618326510197</v>
      </c>
      <c r="E55" s="1" t="s">
        <v>179</v>
      </c>
    </row>
    <row r="56" spans="1:6" x14ac:dyDescent="0.15">
      <c r="A56" s="47" t="s">
        <v>180</v>
      </c>
      <c r="B56" s="82" t="s">
        <v>181</v>
      </c>
      <c r="C56" s="19" t="s">
        <v>182</v>
      </c>
      <c r="D56" s="83" t="s">
        <v>183</v>
      </c>
      <c r="E56" s="1" t="s">
        <v>184</v>
      </c>
    </row>
    <row r="57" spans="1:6" x14ac:dyDescent="0.15">
      <c r="A57" s="84">
        <f>-C28-A34*0-C3*0^2/2</f>
        <v>-608.0533766463426</v>
      </c>
      <c r="B57" s="52">
        <f>B28</f>
        <v>312.59747184320838</v>
      </c>
      <c r="C57" s="85">
        <f>F28+D34*0-C4*(0)^2/2</f>
        <v>-451.71522053801624</v>
      </c>
      <c r="D57" s="54">
        <f>G28</f>
        <v>-244.45203803492402</v>
      </c>
      <c r="E57" s="1" t="s">
        <v>185</v>
      </c>
    </row>
    <row r="58" spans="1:6" x14ac:dyDescent="0.15">
      <c r="A58" s="47" t="s">
        <v>186</v>
      </c>
      <c r="B58" s="19" t="s">
        <v>187</v>
      </c>
      <c r="C58" s="19" t="s">
        <v>188</v>
      </c>
      <c r="D58" s="22" t="s">
        <v>189</v>
      </c>
      <c r="E58" s="1" t="s">
        <v>190</v>
      </c>
    </row>
    <row r="59" spans="1:6" x14ac:dyDescent="0.15">
      <c r="A59" s="86">
        <f>D28+B34*(C9)-C6*(C9)^2/2+(C6-C5)*(C9)^3/6/C9</f>
        <v>-451.71522053801755</v>
      </c>
      <c r="B59" s="87">
        <f>D28+B34*(0)-C6*(0)^2/2+(C6-C5)*(0)^3/6/C9</f>
        <v>-608.0533766463426</v>
      </c>
      <c r="C59" s="49">
        <f>C9*(ABS(C6)-(C6^2-2*ABS(B34)*ABS(C6-C5)/C9)^0.5)/ABS(C6-C5)</f>
        <v>3.637174154421166</v>
      </c>
      <c r="D59" s="50">
        <f>D28+B55*C59-C6*C59^2/2+(C6-C5)*C59^3/6/C9</f>
        <v>262.15979414906883</v>
      </c>
      <c r="E59" s="1" t="s">
        <v>191</v>
      </c>
    </row>
    <row r="60" spans="1:6" x14ac:dyDescent="0.15">
      <c r="E60" s="57" t="s">
        <v>192</v>
      </c>
    </row>
    <row r="63" spans="1:6" x14ac:dyDescent="0.15">
      <c r="B63" s="57" t="s">
        <v>193</v>
      </c>
    </row>
    <row r="64" spans="1:6" x14ac:dyDescent="0.15">
      <c r="A64" s="4" t="s">
        <v>26</v>
      </c>
      <c r="B64" s="4" t="s">
        <v>194</v>
      </c>
      <c r="C64" s="4" t="s">
        <v>195</v>
      </c>
      <c r="D64" s="4" t="s">
        <v>196</v>
      </c>
      <c r="E64" s="4" t="s">
        <v>197</v>
      </c>
    </row>
    <row r="65" spans="1:7" x14ac:dyDescent="0.15">
      <c r="A65" s="113" t="s">
        <v>198</v>
      </c>
      <c r="B65" s="4" t="s">
        <v>199</v>
      </c>
      <c r="C65" s="13">
        <f>IF(G28&lt;1,G28*-1,G28)</f>
        <v>244.45203803492402</v>
      </c>
      <c r="D65" s="13">
        <f>IF(B28&lt;1,B28*-1,B28)</f>
        <v>312.59747184320838</v>
      </c>
      <c r="E65" s="13">
        <f>D59</f>
        <v>262.15979414906883</v>
      </c>
    </row>
    <row r="66" spans="1:7" x14ac:dyDescent="0.15">
      <c r="A66" s="113"/>
      <c r="B66" s="113" t="s">
        <v>200</v>
      </c>
      <c r="C66" s="116">
        <f>C57</f>
        <v>-451.71522053801624</v>
      </c>
      <c r="D66" s="116">
        <f>A57</f>
        <v>-608.0533766463426</v>
      </c>
      <c r="E66" s="13">
        <f>A59</f>
        <v>-451.71522053801755</v>
      </c>
      <c r="F66" s="4" t="s">
        <v>201</v>
      </c>
    </row>
    <row r="67" spans="1:7" x14ac:dyDescent="0.15">
      <c r="A67" s="113"/>
      <c r="B67" s="113"/>
      <c r="C67" s="116"/>
      <c r="D67" s="116"/>
      <c r="E67" s="13">
        <f>B59</f>
        <v>-608.0533766463426</v>
      </c>
      <c r="F67" s="4" t="s">
        <v>202</v>
      </c>
    </row>
    <row r="68" spans="1:7" x14ac:dyDescent="0.15">
      <c r="A68" s="113" t="s">
        <v>203</v>
      </c>
      <c r="B68" s="113"/>
      <c r="C68" s="114">
        <f>D55</f>
        <v>580.14618326510197</v>
      </c>
      <c r="D68" s="114">
        <f>A55*-1</f>
        <v>767.20904040795904</v>
      </c>
      <c r="E68" s="13">
        <f>C55</f>
        <v>-271.15536670551256</v>
      </c>
      <c r="F68" s="4" t="s">
        <v>201</v>
      </c>
    </row>
    <row r="69" spans="1:7" x14ac:dyDescent="0.15">
      <c r="A69" s="113"/>
      <c r="B69" s="113"/>
      <c r="C69" s="114"/>
      <c r="D69" s="114"/>
      <c r="E69" s="13">
        <f>B55</f>
        <v>523.37835333806947</v>
      </c>
      <c r="F69" s="4" t="s">
        <v>202</v>
      </c>
    </row>
    <row r="70" spans="1:7" x14ac:dyDescent="0.15">
      <c r="A70" s="113" t="s">
        <v>204</v>
      </c>
      <c r="B70" s="113"/>
      <c r="C70" s="115">
        <f>C55*-1</f>
        <v>271.15536670551256</v>
      </c>
      <c r="D70" s="115">
        <f>B55</f>
        <v>523.37835333806947</v>
      </c>
      <c r="E70" s="13">
        <f>D55</f>
        <v>580.14618326510197</v>
      </c>
      <c r="F70" s="4" t="s">
        <v>201</v>
      </c>
    </row>
    <row r="71" spans="1:7" x14ac:dyDescent="0.15">
      <c r="A71" s="113"/>
      <c r="B71" s="113"/>
      <c r="C71" s="115"/>
      <c r="D71" s="115"/>
      <c r="E71" s="13">
        <f>A55*-1</f>
        <v>767.20904040795904</v>
      </c>
      <c r="F71" s="4" t="s">
        <v>202</v>
      </c>
      <c r="G71" s="119" t="s">
        <v>266</v>
      </c>
    </row>
    <row r="72" spans="1:7" x14ac:dyDescent="0.15">
      <c r="A72" s="88" t="s">
        <v>21</v>
      </c>
      <c r="B72" s="89" t="s">
        <v>207</v>
      </c>
    </row>
    <row r="73" spans="1:7" x14ac:dyDescent="0.15">
      <c r="A73" s="89"/>
      <c r="B73" s="89" t="s">
        <v>208</v>
      </c>
    </row>
  </sheetData>
  <mergeCells count="20">
    <mergeCell ref="A70:B71"/>
    <mergeCell ref="A68:B69"/>
    <mergeCell ref="A49:B50"/>
    <mergeCell ref="A47:B48"/>
    <mergeCell ref="C68:C69"/>
    <mergeCell ref="C70:C71"/>
    <mergeCell ref="D45:D46"/>
    <mergeCell ref="D47:D48"/>
    <mergeCell ref="D49:D50"/>
    <mergeCell ref="D66:D67"/>
    <mergeCell ref="D68:D69"/>
    <mergeCell ref="D70:D71"/>
    <mergeCell ref="A44:A46"/>
    <mergeCell ref="A65:A67"/>
    <mergeCell ref="B45:B46"/>
    <mergeCell ref="B66:B67"/>
    <mergeCell ref="C45:C46"/>
    <mergeCell ref="C47:C48"/>
    <mergeCell ref="C49:C50"/>
    <mergeCell ref="C66:C67"/>
  </mergeCells>
  <phoneticPr fontId="1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G51"/>
  <sheetViews>
    <sheetView view="pageBreakPreview" zoomScaleNormal="100" workbookViewId="0">
      <selection activeCell="G7" sqref="G7"/>
    </sheetView>
  </sheetViews>
  <sheetFormatPr defaultColWidth="9" defaultRowHeight="12" x14ac:dyDescent="0.15"/>
  <cols>
    <col min="1" max="1" width="11.75" style="15" customWidth="1"/>
    <col min="2" max="16384" width="9" style="15"/>
  </cols>
  <sheetData>
    <row r="1" spans="1:7" x14ac:dyDescent="0.15">
      <c r="A1" s="15" t="s">
        <v>141</v>
      </c>
    </row>
    <row r="2" spans="1:7" x14ac:dyDescent="0.15">
      <c r="A2" s="3" t="s">
        <v>143</v>
      </c>
      <c r="B2" s="4" t="s">
        <v>78</v>
      </c>
      <c r="C2" s="4">
        <f>'1.荷载计算'!E60</f>
        <v>306.710219217602</v>
      </c>
    </row>
    <row r="3" spans="1:7" x14ac:dyDescent="0.15">
      <c r="A3" s="3" t="s">
        <v>144</v>
      </c>
      <c r="B3" s="4" t="s">
        <v>78</v>
      </c>
      <c r="C3" s="4">
        <f>'1.荷载计算'!E22</f>
        <v>235.853076360459</v>
      </c>
    </row>
    <row r="4" spans="1:7" x14ac:dyDescent="0.15">
      <c r="A4" s="3" t="s">
        <v>146</v>
      </c>
      <c r="B4" s="4" t="s">
        <v>78</v>
      </c>
      <c r="C4" s="4">
        <f>'1.荷载计算'!E49</f>
        <v>15.1809204737445</v>
      </c>
    </row>
    <row r="5" spans="1:7" x14ac:dyDescent="0.15">
      <c r="A5" s="3" t="s">
        <v>147</v>
      </c>
      <c r="B5" s="4" t="s">
        <v>78</v>
      </c>
      <c r="C5" s="4">
        <f>'1.荷载计算'!E51</f>
        <v>139.157408983051</v>
      </c>
      <c r="F5" s="2"/>
      <c r="G5" s="2"/>
    </row>
    <row r="6" spans="1:7" x14ac:dyDescent="0.15">
      <c r="A6" s="3" t="s">
        <v>43</v>
      </c>
      <c r="B6" s="4" t="s">
        <v>35</v>
      </c>
      <c r="C6" s="4">
        <f>'2.1.结构计算(承载)'!C7</f>
        <v>0.4</v>
      </c>
      <c r="F6" s="2"/>
      <c r="G6" s="2"/>
    </row>
    <row r="7" spans="1:7" x14ac:dyDescent="0.15">
      <c r="A7" s="3" t="s">
        <v>148</v>
      </c>
      <c r="B7" s="4" t="s">
        <v>35</v>
      </c>
      <c r="C7" s="4">
        <f>'2.1.结构计算(承载)'!C8</f>
        <v>2.4</v>
      </c>
      <c r="F7" s="2"/>
      <c r="G7" s="2"/>
    </row>
    <row r="8" spans="1:7" x14ac:dyDescent="0.15">
      <c r="A8" s="3" t="s">
        <v>149</v>
      </c>
      <c r="B8" s="4" t="s">
        <v>35</v>
      </c>
      <c r="C8" s="4">
        <f>'2.1.结构计算(承载)'!C9</f>
        <v>7.92</v>
      </c>
      <c r="F8" s="2"/>
      <c r="G8" s="2"/>
    </row>
    <row r="9" spans="1:7" x14ac:dyDescent="0.15">
      <c r="A9" s="3" t="s">
        <v>150</v>
      </c>
      <c r="B9" s="4" t="s">
        <v>35</v>
      </c>
      <c r="C9" s="4">
        <f>'2.1.结构计算(承载)'!C10</f>
        <v>0.8</v>
      </c>
      <c r="F9" s="2"/>
      <c r="G9" s="2"/>
    </row>
    <row r="10" spans="1:7" x14ac:dyDescent="0.15">
      <c r="A10" s="3" t="s">
        <v>151</v>
      </c>
      <c r="B10" s="4" t="s">
        <v>35</v>
      </c>
      <c r="C10" s="4">
        <f>'2.1.结构计算(承载)'!C11</f>
        <v>0.8</v>
      </c>
    </row>
    <row r="11" spans="1:7" x14ac:dyDescent="0.15">
      <c r="A11" s="3" t="s">
        <v>152</v>
      </c>
      <c r="B11" s="4" t="s">
        <v>35</v>
      </c>
      <c r="C11" s="4">
        <f>'2.1.结构计算(承载)'!C12</f>
        <v>0.8</v>
      </c>
    </row>
    <row r="12" spans="1:7" s="16" customFormat="1" x14ac:dyDescent="0.15">
      <c r="A12" s="16" t="s">
        <v>153</v>
      </c>
    </row>
    <row r="13" spans="1:7" s="16" customFormat="1" x14ac:dyDescent="0.15">
      <c r="A13" s="16" t="s">
        <v>154</v>
      </c>
    </row>
    <row r="15" spans="1:7" x14ac:dyDescent="0.15">
      <c r="B15" s="15" t="s">
        <v>155</v>
      </c>
    </row>
    <row r="16" spans="1:7" x14ac:dyDescent="0.15">
      <c r="A16" s="18" t="s">
        <v>156</v>
      </c>
      <c r="B16" s="19" t="s">
        <v>157</v>
      </c>
      <c r="C16" s="20" t="s">
        <v>158</v>
      </c>
      <c r="D16" s="21" t="s">
        <v>46</v>
      </c>
      <c r="E16" s="20"/>
      <c r="F16" s="21" t="s">
        <v>94</v>
      </c>
      <c r="G16" s="22" t="s">
        <v>159</v>
      </c>
    </row>
    <row r="17" spans="1:7" x14ac:dyDescent="0.15">
      <c r="A17" s="23" t="s">
        <v>160</v>
      </c>
      <c r="B17" s="24" t="s">
        <v>161</v>
      </c>
      <c r="C17" s="25" t="s">
        <v>162</v>
      </c>
      <c r="D17" s="26" t="s">
        <v>163</v>
      </c>
      <c r="E17" s="25" t="s">
        <v>164</v>
      </c>
      <c r="F17" s="26" t="s">
        <v>165</v>
      </c>
      <c r="G17" s="27" t="s">
        <v>166</v>
      </c>
    </row>
    <row r="18" spans="1:7" x14ac:dyDescent="0.15">
      <c r="A18" s="23" t="s">
        <v>167</v>
      </c>
      <c r="B18" s="28"/>
      <c r="C18" s="28">
        <f>C9^3/12/C7</f>
        <v>1.7777777777777799E-2</v>
      </c>
      <c r="D18" s="28">
        <f>4*C11^3/12/C8</f>
        <v>2.1548821548821599E-2</v>
      </c>
      <c r="E18" s="28">
        <f>D18</f>
        <v>2.1548821548821599E-2</v>
      </c>
      <c r="F18" s="28">
        <f>C10^3/12/C7</f>
        <v>1.7777777777777799E-2</v>
      </c>
      <c r="G18" s="29"/>
    </row>
    <row r="19" spans="1:7" x14ac:dyDescent="0.15">
      <c r="A19" s="30" t="s">
        <v>168</v>
      </c>
      <c r="B19" s="31"/>
      <c r="C19" s="28">
        <f>C18/(C18+D18)</f>
        <v>0.45205479452054798</v>
      </c>
      <c r="D19" s="28">
        <f>D18/(C18+D18)</f>
        <v>0.54794520547945202</v>
      </c>
      <c r="E19" s="28">
        <f>E18/(E18+F18)</f>
        <v>0.54794520547945202</v>
      </c>
      <c r="F19" s="28">
        <f>F18/(E18+F18)</f>
        <v>0.45205479452054798</v>
      </c>
      <c r="G19" s="32"/>
    </row>
    <row r="20" spans="1:7" x14ac:dyDescent="0.15">
      <c r="A20" s="33" t="s">
        <v>169</v>
      </c>
      <c r="B20" s="34">
        <f>C2*C7^2/6</f>
        <v>294.44181044889802</v>
      </c>
      <c r="C20" s="35">
        <f>C2*C7^2/3</f>
        <v>588.88362089779605</v>
      </c>
      <c r="D20" s="36">
        <f>-C4*C8^2/12-(C5-C4)*C8^2/20</f>
        <v>-468.18364794186499</v>
      </c>
      <c r="E20" s="34">
        <f>C4*C8^2/12+(C5-C4)*C8^2/30</f>
        <v>338.57366779469601</v>
      </c>
      <c r="F20" s="36">
        <f>-C3*C7^2/3</f>
        <v>-452.83790661208099</v>
      </c>
      <c r="G20" s="37">
        <f>-C3*C7^2/6</f>
        <v>-226.418953306041</v>
      </c>
    </row>
    <row r="21" spans="1:7" x14ac:dyDescent="0.15">
      <c r="A21" s="38"/>
      <c r="B21" s="38"/>
      <c r="C21" s="38"/>
      <c r="D21" s="38">
        <f>E21/2</f>
        <v>31.3052709088727</v>
      </c>
      <c r="E21" s="39">
        <f>-(E20+F20)*E19</f>
        <v>62.6105418177453</v>
      </c>
      <c r="F21" s="40">
        <f>-(E20+F20)*F19</f>
        <v>51.653696999639898</v>
      </c>
      <c r="G21" s="41">
        <f>-F21</f>
        <v>-51.653696999639898</v>
      </c>
    </row>
    <row r="22" spans="1:7" x14ac:dyDescent="0.15">
      <c r="A22" s="42"/>
      <c r="B22" s="39">
        <f>-C22</f>
        <v>68.714699281349397</v>
      </c>
      <c r="C22" s="39">
        <f>-(C20+D20+D21)*C19</f>
        <v>-68.714699281349397</v>
      </c>
      <c r="D22" s="39">
        <f>-(C20+D20+D21)*D19</f>
        <v>-83.290544583453894</v>
      </c>
      <c r="E22" s="42">
        <f>D22/2</f>
        <v>-41.645272291726897</v>
      </c>
      <c r="F22" s="42"/>
      <c r="G22" s="41"/>
    </row>
    <row r="23" spans="1:7" x14ac:dyDescent="0.15">
      <c r="A23" s="42"/>
      <c r="B23" s="42"/>
      <c r="C23" s="42"/>
      <c r="D23" s="42">
        <f>E23/2</f>
        <v>11.409663641569001</v>
      </c>
      <c r="E23" s="39">
        <f>-E22*E19</f>
        <v>22.819327283138001</v>
      </c>
      <c r="F23" s="39">
        <f>-E22*F19</f>
        <v>18.825945008588899</v>
      </c>
      <c r="G23" s="41">
        <f>-F23</f>
        <v>-18.825945008588899</v>
      </c>
    </row>
    <row r="24" spans="1:7" x14ac:dyDescent="0.15">
      <c r="A24" s="42"/>
      <c r="B24" s="39">
        <f>-C24</f>
        <v>5.1577931530380496</v>
      </c>
      <c r="C24" s="39">
        <f>-D23*C19</f>
        <v>-5.1577931530380496</v>
      </c>
      <c r="D24" s="39">
        <f>-D23*D19</f>
        <v>-6.2518704885309697</v>
      </c>
      <c r="E24" s="42">
        <f>D24/2</f>
        <v>-3.12593524426548</v>
      </c>
      <c r="F24" s="42"/>
      <c r="G24" s="41"/>
    </row>
    <row r="25" spans="1:7" x14ac:dyDescent="0.15">
      <c r="A25" s="42"/>
      <c r="B25" s="42"/>
      <c r="C25" s="42"/>
      <c r="D25" s="42">
        <f>E25/2</f>
        <v>0.85642061486725596</v>
      </c>
      <c r="E25" s="39">
        <f>-E24*E19</f>
        <v>1.7128412297345099</v>
      </c>
      <c r="F25" s="39">
        <f>-E24*F19</f>
        <v>1.4130940145309701</v>
      </c>
      <c r="G25" s="41">
        <f>-F25</f>
        <v>-1.4130940145309701</v>
      </c>
    </row>
    <row r="26" spans="1:7" x14ac:dyDescent="0.15">
      <c r="A26" s="42"/>
      <c r="B26" s="42">
        <f>-C26</f>
        <v>0.387149045076979</v>
      </c>
      <c r="C26" s="39">
        <f>-C19*D25</f>
        <v>-0.387149045076979</v>
      </c>
      <c r="D26" s="39">
        <f>-D19*D25</f>
        <v>-0.46927156979027701</v>
      </c>
      <c r="E26" s="42">
        <f>D26/2</f>
        <v>-0.234635784895139</v>
      </c>
      <c r="F26" s="42"/>
      <c r="G26" s="41"/>
    </row>
    <row r="27" spans="1:7" x14ac:dyDescent="0.15">
      <c r="A27" s="42"/>
      <c r="B27" s="42"/>
      <c r="C27" s="42"/>
      <c r="D27" s="42"/>
      <c r="E27" s="42">
        <f>-E19*E26</f>
        <v>0.12856755336719899</v>
      </c>
      <c r="F27" s="42">
        <f>-F19*E26</f>
        <v>0.106068231527939</v>
      </c>
      <c r="G27" s="41"/>
    </row>
    <row r="28" spans="1:7" x14ac:dyDescent="0.15">
      <c r="A28" s="43" t="s">
        <v>170</v>
      </c>
      <c r="B28" s="44">
        <f>SUM(B20:B26)</f>
        <v>368.70145192836202</v>
      </c>
      <c r="C28" s="44">
        <f>SUM(C20:C26)</f>
        <v>514.62397941833103</v>
      </c>
      <c r="D28" s="45">
        <f>SUM(D20:D26)</f>
        <v>-514.62397941833103</v>
      </c>
      <c r="E28" s="44">
        <f>SUM(E20:E27)</f>
        <v>380.83910235779399</v>
      </c>
      <c r="F28" s="45">
        <f>SUM(F20:F27)</f>
        <v>-380.83910235779399</v>
      </c>
      <c r="G28" s="46">
        <f>SUM(G20:G25)</f>
        <v>-298.31168932880001</v>
      </c>
    </row>
    <row r="29" spans="1:7" s="16" customFormat="1" x14ac:dyDescent="0.15">
      <c r="A29" s="16" t="s">
        <v>171</v>
      </c>
    </row>
    <row r="30" spans="1:7" s="16" customFormat="1" x14ac:dyDescent="0.15">
      <c r="A30" s="16" t="s">
        <v>209</v>
      </c>
    </row>
    <row r="32" spans="1:7" x14ac:dyDescent="0.15">
      <c r="A32" s="15" t="s">
        <v>210</v>
      </c>
    </row>
    <row r="33" spans="1:5" s="17" customFormat="1" x14ac:dyDescent="0.15">
      <c r="A33" s="47" t="s">
        <v>174</v>
      </c>
      <c r="B33" s="19" t="s">
        <v>175</v>
      </c>
      <c r="C33" s="19" t="s">
        <v>176</v>
      </c>
      <c r="D33" s="22" t="s">
        <v>177</v>
      </c>
      <c r="E33" s="1" t="s">
        <v>178</v>
      </c>
    </row>
    <row r="34" spans="1:5" s="2" customFormat="1" x14ac:dyDescent="0.15">
      <c r="A34" s="48">
        <f>-C2*C7*2/2</f>
        <v>-736.10452612224401</v>
      </c>
      <c r="B34" s="49">
        <f>C5*C8/2-(C5-C4)*C8/6-(E28+D28)/C8</f>
        <v>404.30640467248298</v>
      </c>
      <c r="C34" s="49">
        <f>-C5*C8/2+(C5-C4)*C8/3-(E28+D28)/C8</f>
        <v>-206.873379976427</v>
      </c>
      <c r="D34" s="50">
        <f>C3*C7*2/2</f>
        <v>566.04738326510198</v>
      </c>
      <c r="E34" s="1" t="s">
        <v>179</v>
      </c>
    </row>
    <row r="35" spans="1:5" s="2" customFormat="1" x14ac:dyDescent="0.15">
      <c r="A35" s="47" t="s">
        <v>180</v>
      </c>
      <c r="B35" s="19" t="s">
        <v>181</v>
      </c>
      <c r="C35" s="19" t="s">
        <v>182</v>
      </c>
      <c r="D35" s="22" t="s">
        <v>183</v>
      </c>
      <c r="E35" s="1" t="s">
        <v>184</v>
      </c>
    </row>
    <row r="36" spans="1:5" s="2" customFormat="1" x14ac:dyDescent="0.15">
      <c r="A36" s="51">
        <f>-C28-A34*(C6+C11/2)-C2*(C6+C11/2)^2/2</f>
        <v>-23.887628670168201</v>
      </c>
      <c r="B36" s="52">
        <f>B28</f>
        <v>368.70145192836202</v>
      </c>
      <c r="C36" s="53">
        <f>F28+D34*(C6+C11/2)-C3*(C6+C11/2)^2/2</f>
        <v>-3.4741801810591499</v>
      </c>
      <c r="D36" s="54">
        <f>G28</f>
        <v>-298.31168932880001</v>
      </c>
      <c r="E36" s="1" t="s">
        <v>185</v>
      </c>
    </row>
    <row r="37" spans="1:5" s="2" customFormat="1" x14ac:dyDescent="0.15">
      <c r="A37" s="47" t="s">
        <v>186</v>
      </c>
      <c r="B37" s="19" t="s">
        <v>187</v>
      </c>
      <c r="C37" s="19" t="s">
        <v>188</v>
      </c>
      <c r="D37" s="22" t="s">
        <v>189</v>
      </c>
      <c r="E37" s="1" t="s">
        <v>190</v>
      </c>
    </row>
    <row r="38" spans="1:5" s="2" customFormat="1" x14ac:dyDescent="0.15">
      <c r="A38" s="48">
        <f>D28+B34*(C8-C10/2-C6)-C5*(C8-C10/2-C6)^2/2+(C5-C4)*(C8-C10/2-C6)^3/6/C8</f>
        <v>-221.53406654181899</v>
      </c>
      <c r="B38" s="49">
        <f>D28+B34*(C9/2+C6)-C5*(C9/2+C6)^2/2+(C5-C4)*(C9/2+C6)^3/6/C8</f>
        <v>-234.37345294135201</v>
      </c>
      <c r="C38" s="49">
        <f>C8*(ABS(C5)-(C5^2-2*ABS(B34)*ABS(C5-C4)/C8)^0.5)/ABS(C5-C4)</f>
        <v>3.6579842704691301</v>
      </c>
      <c r="D38" s="50">
        <f>D28+B34*C38-C5*C38^2/2+(C5-C4)*C38^3/6/C8</f>
        <v>160.99962205653799</v>
      </c>
      <c r="E38" s="1" t="s">
        <v>191</v>
      </c>
    </row>
    <row r="39" spans="1:5" x14ac:dyDescent="0.15">
      <c r="E39" s="15" t="s">
        <v>192</v>
      </c>
    </row>
    <row r="42" spans="1:5" x14ac:dyDescent="0.15">
      <c r="A42" s="2"/>
      <c r="B42" s="2" t="s">
        <v>211</v>
      </c>
      <c r="C42" s="2"/>
      <c r="D42" s="2"/>
      <c r="E42" s="2"/>
    </row>
    <row r="43" spans="1:5" x14ac:dyDescent="0.15">
      <c r="A43" s="4" t="s">
        <v>26</v>
      </c>
      <c r="B43" s="4" t="s">
        <v>194</v>
      </c>
      <c r="C43" s="4" t="s">
        <v>195</v>
      </c>
      <c r="D43" s="4" t="s">
        <v>196</v>
      </c>
      <c r="E43" s="4" t="s">
        <v>197</v>
      </c>
    </row>
    <row r="44" spans="1:5" x14ac:dyDescent="0.15">
      <c r="A44" s="113" t="s">
        <v>198</v>
      </c>
      <c r="B44" s="4" t="s">
        <v>199</v>
      </c>
      <c r="C44" s="13">
        <f>IF(G28&lt;1,G28*-1,G28)</f>
        <v>298.31168932880001</v>
      </c>
      <c r="D44" s="13">
        <f>IF(B28&lt;1,B28*-1,B28)</f>
        <v>368.70145192836202</v>
      </c>
      <c r="E44" s="13">
        <f>D38</f>
        <v>160.99962205653799</v>
      </c>
    </row>
    <row r="45" spans="1:5" x14ac:dyDescent="0.15">
      <c r="A45" s="113"/>
      <c r="B45" s="113" t="s">
        <v>200</v>
      </c>
      <c r="C45" s="114">
        <f>C36</f>
        <v>-3.4741801810591499</v>
      </c>
      <c r="D45" s="114">
        <f>A36</f>
        <v>-23.887628670168201</v>
      </c>
      <c r="E45" s="13">
        <f>A38</f>
        <v>-221.53406654181899</v>
      </c>
    </row>
    <row r="46" spans="1:5" x14ac:dyDescent="0.15">
      <c r="A46" s="113"/>
      <c r="B46" s="113"/>
      <c r="C46" s="114"/>
      <c r="D46" s="114"/>
      <c r="E46" s="13">
        <f>B38</f>
        <v>-234.37345294135201</v>
      </c>
    </row>
    <row r="47" spans="1:5" x14ac:dyDescent="0.15">
      <c r="A47" s="113" t="s">
        <v>203</v>
      </c>
      <c r="B47" s="113"/>
      <c r="C47" s="114">
        <f>D34</f>
        <v>566.04738326510198</v>
      </c>
      <c r="D47" s="114">
        <f>A34*-1</f>
        <v>736.10452612224401</v>
      </c>
      <c r="E47" s="13">
        <f>C34</f>
        <v>-206.873379976427</v>
      </c>
    </row>
    <row r="48" spans="1:5" x14ac:dyDescent="0.15">
      <c r="A48" s="113"/>
      <c r="B48" s="113"/>
      <c r="C48" s="114"/>
      <c r="D48" s="114"/>
      <c r="E48" s="13">
        <f>B34</f>
        <v>404.30640467248298</v>
      </c>
    </row>
    <row r="49" spans="1:5" x14ac:dyDescent="0.15">
      <c r="A49" s="113" t="s">
        <v>204</v>
      </c>
      <c r="B49" s="113"/>
      <c r="C49" s="115">
        <f>C34*-1</f>
        <v>206.873379976427</v>
      </c>
      <c r="D49" s="115">
        <f>B34</f>
        <v>404.30640467248298</v>
      </c>
      <c r="E49" s="13">
        <f>D34</f>
        <v>566.04738326510198</v>
      </c>
    </row>
    <row r="50" spans="1:5" x14ac:dyDescent="0.15">
      <c r="A50" s="113"/>
      <c r="B50" s="113"/>
      <c r="C50" s="115"/>
      <c r="D50" s="115"/>
      <c r="E50" s="13">
        <f>A34*-1</f>
        <v>736.10452612224401</v>
      </c>
    </row>
    <row r="51" spans="1:5" x14ac:dyDescent="0.15">
      <c r="C51" s="11" t="s">
        <v>205</v>
      </c>
      <c r="D51" s="11" t="s">
        <v>205</v>
      </c>
      <c r="E51" s="11" t="s">
        <v>205</v>
      </c>
    </row>
  </sheetData>
  <mergeCells count="10">
    <mergeCell ref="D45:D46"/>
    <mergeCell ref="D47:D48"/>
    <mergeCell ref="D49:D50"/>
    <mergeCell ref="A49:B50"/>
    <mergeCell ref="A47:B48"/>
    <mergeCell ref="A44:A46"/>
    <mergeCell ref="B45:B46"/>
    <mergeCell ref="C45:C46"/>
    <mergeCell ref="C47:C48"/>
    <mergeCell ref="C49:C50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I21"/>
  <sheetViews>
    <sheetView workbookViewId="0">
      <selection sqref="A1:F21"/>
    </sheetView>
  </sheetViews>
  <sheetFormatPr defaultColWidth="9" defaultRowHeight="14.25" x14ac:dyDescent="0.15"/>
  <cols>
    <col min="1" max="16384" width="9" style="7"/>
  </cols>
  <sheetData>
    <row r="1" spans="1:9" x14ac:dyDescent="0.15">
      <c r="A1" s="117" t="s">
        <v>212</v>
      </c>
      <c r="B1" s="117"/>
      <c r="C1" s="117"/>
      <c r="D1" s="117"/>
      <c r="E1" s="117"/>
    </row>
    <row r="2" spans="1:9" x14ac:dyDescent="0.15">
      <c r="A2" s="8" t="s">
        <v>82</v>
      </c>
      <c r="B2" s="9">
        <v>1</v>
      </c>
      <c r="C2" s="9">
        <v>2</v>
      </c>
      <c r="D2" s="9">
        <v>3</v>
      </c>
      <c r="E2" s="9">
        <v>4</v>
      </c>
      <c r="F2" s="7" t="s">
        <v>213</v>
      </c>
    </row>
    <row r="3" spans="1:9" x14ac:dyDescent="0.15">
      <c r="A3" s="10">
        <v>0</v>
      </c>
      <c r="B3" s="10">
        <v>1</v>
      </c>
      <c r="C3" s="10">
        <v>1</v>
      </c>
      <c r="D3" s="10">
        <v>1</v>
      </c>
      <c r="E3" s="10">
        <v>1</v>
      </c>
      <c r="F3" s="7" t="s">
        <v>214</v>
      </c>
    </row>
    <row r="4" spans="1:9" x14ac:dyDescent="0.15">
      <c r="A4" s="10">
        <v>1</v>
      </c>
      <c r="B4" s="10">
        <v>1.37</v>
      </c>
      <c r="C4" s="10">
        <v>1.2</v>
      </c>
      <c r="D4" s="10">
        <v>1.07</v>
      </c>
      <c r="E4" s="10">
        <v>1</v>
      </c>
      <c r="F4" s="7" t="s">
        <v>215</v>
      </c>
    </row>
    <row r="5" spans="1:9" x14ac:dyDescent="0.15">
      <c r="A5" s="10">
        <v>2</v>
      </c>
      <c r="B5" s="10">
        <v>1.41</v>
      </c>
      <c r="C5" s="10">
        <v>1.25</v>
      </c>
      <c r="D5" s="10">
        <v>1.08</v>
      </c>
      <c r="E5" s="10">
        <v>1</v>
      </c>
      <c r="F5" s="7" t="s">
        <v>216</v>
      </c>
    </row>
    <row r="6" spans="1:9" x14ac:dyDescent="0.15">
      <c r="A6" s="10">
        <v>3</v>
      </c>
      <c r="B6" s="10">
        <v>1.42</v>
      </c>
      <c r="C6" s="10">
        <v>1.26</v>
      </c>
      <c r="D6" s="10">
        <v>1.0900000000000001</v>
      </c>
      <c r="E6" s="10">
        <v>1</v>
      </c>
    </row>
    <row r="7" spans="1:9" x14ac:dyDescent="0.15">
      <c r="A7" s="10">
        <v>4</v>
      </c>
      <c r="B7" s="10">
        <v>1.41</v>
      </c>
      <c r="C7" s="10">
        <v>1.25</v>
      </c>
      <c r="D7" s="10">
        <v>1.08</v>
      </c>
      <c r="E7" s="10">
        <v>1</v>
      </c>
    </row>
    <row r="8" spans="1:9" x14ac:dyDescent="0.15">
      <c r="A8" s="10">
        <v>5</v>
      </c>
      <c r="B8" s="10">
        <v>1.39</v>
      </c>
      <c r="C8" s="10">
        <v>1.24</v>
      </c>
      <c r="D8" s="10">
        <v>1.07</v>
      </c>
      <c r="E8" s="10">
        <v>1</v>
      </c>
    </row>
    <row r="9" spans="1:9" x14ac:dyDescent="0.15">
      <c r="A9" s="10">
        <v>6</v>
      </c>
      <c r="B9" s="10">
        <v>1.35</v>
      </c>
      <c r="C9" s="10">
        <v>1.22</v>
      </c>
      <c r="D9" s="10">
        <v>1.06</v>
      </c>
      <c r="E9" s="10">
        <v>1</v>
      </c>
    </row>
    <row r="11" spans="1:9" x14ac:dyDescent="0.15">
      <c r="A11" s="118" t="s">
        <v>217</v>
      </c>
      <c r="B11" s="118"/>
      <c r="C11" s="118"/>
      <c r="D11" s="118"/>
      <c r="E11" s="118"/>
    </row>
    <row r="12" spans="1:9" x14ac:dyDescent="0.15">
      <c r="A12" s="10" t="s">
        <v>82</v>
      </c>
      <c r="B12" s="12">
        <v>1</v>
      </c>
      <c r="C12" s="12">
        <v>2</v>
      </c>
      <c r="D12" s="12">
        <v>3</v>
      </c>
      <c r="E12" s="12">
        <v>4</v>
      </c>
    </row>
    <row r="13" spans="1:9" x14ac:dyDescent="0.15">
      <c r="A13" s="4">
        <v>0</v>
      </c>
      <c r="B13" s="13">
        <v>1</v>
      </c>
      <c r="C13" s="13">
        <v>1</v>
      </c>
      <c r="D13" s="13">
        <v>1</v>
      </c>
      <c r="E13" s="13">
        <v>1</v>
      </c>
    </row>
    <row r="14" spans="1:9" x14ac:dyDescent="0.15">
      <c r="A14" s="4">
        <v>1</v>
      </c>
      <c r="B14" s="13">
        <v>0.82</v>
      </c>
      <c r="C14" s="13">
        <v>0.85</v>
      </c>
      <c r="D14" s="13">
        <v>0.87</v>
      </c>
      <c r="E14" s="13">
        <v>0.89</v>
      </c>
    </row>
    <row r="15" spans="1:9" x14ac:dyDescent="0.15">
      <c r="A15" s="4">
        <v>2</v>
      </c>
      <c r="B15" s="13">
        <v>0.7</v>
      </c>
      <c r="C15" s="13">
        <v>0.73</v>
      </c>
      <c r="D15" s="13">
        <v>0.76</v>
      </c>
      <c r="E15" s="13">
        <v>0.78</v>
      </c>
      <c r="G15" s="14"/>
      <c r="H15" s="14"/>
      <c r="I15" s="14"/>
    </row>
    <row r="16" spans="1:9" x14ac:dyDescent="0.15">
      <c r="A16" s="4">
        <v>3</v>
      </c>
      <c r="B16" s="13">
        <v>0.6</v>
      </c>
      <c r="C16" s="13">
        <v>0.64</v>
      </c>
      <c r="D16" s="13">
        <v>0.67</v>
      </c>
      <c r="E16" s="13">
        <v>0.7</v>
      </c>
      <c r="G16" s="15"/>
      <c r="H16" s="15"/>
      <c r="I16" s="15"/>
    </row>
    <row r="17" spans="1:9" x14ac:dyDescent="0.15">
      <c r="A17" s="4">
        <v>4</v>
      </c>
      <c r="B17" s="13">
        <v>0.53</v>
      </c>
      <c r="C17" s="13">
        <v>0.55000000000000004</v>
      </c>
      <c r="D17" s="13">
        <v>0.57999999999999996</v>
      </c>
      <c r="E17" s="13">
        <v>0.62</v>
      </c>
      <c r="G17" s="15"/>
      <c r="H17" s="15"/>
      <c r="I17" s="15"/>
    </row>
    <row r="18" spans="1:9" x14ac:dyDescent="0.15">
      <c r="A18" s="4">
        <v>5</v>
      </c>
      <c r="B18" s="13">
        <v>0.45</v>
      </c>
      <c r="C18" s="13">
        <v>0.48</v>
      </c>
      <c r="D18" s="13">
        <v>0.52</v>
      </c>
      <c r="E18" s="13">
        <v>0.55000000000000004</v>
      </c>
      <c r="G18" s="15"/>
      <c r="H18" s="15"/>
      <c r="I18" s="15"/>
    </row>
    <row r="19" spans="1:9" x14ac:dyDescent="0.15">
      <c r="A19" s="4">
        <v>6</v>
      </c>
      <c r="B19" s="13">
        <v>0.4</v>
      </c>
      <c r="C19" s="13">
        <v>0.44</v>
      </c>
      <c r="D19" s="13">
        <v>0.47</v>
      </c>
      <c r="E19" s="13">
        <v>0.5</v>
      </c>
    </row>
    <row r="21" spans="1:9" x14ac:dyDescent="0.15">
      <c r="A21" s="7" t="s">
        <v>218</v>
      </c>
    </row>
  </sheetData>
  <mergeCells count="2">
    <mergeCell ref="A1:E1"/>
    <mergeCell ref="A11:E11"/>
  </mergeCells>
  <phoneticPr fontId="1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F46"/>
  <sheetViews>
    <sheetView workbookViewId="0">
      <selection activeCell="D37" sqref="D37"/>
    </sheetView>
  </sheetViews>
  <sheetFormatPr defaultColWidth="9" defaultRowHeight="12" x14ac:dyDescent="0.15"/>
  <cols>
    <col min="1" max="1" width="19.25" style="1" customWidth="1"/>
    <col min="2" max="2" width="5.125" style="2" customWidth="1"/>
    <col min="3" max="3" width="5.875" style="2" customWidth="1"/>
    <col min="4" max="4" width="11.125" style="2" customWidth="1"/>
    <col min="5" max="5" width="9" style="2"/>
    <col min="6" max="6" width="18.375" style="2" customWidth="1"/>
    <col min="7" max="257" width="9" style="2"/>
    <col min="258" max="258" width="19.25" style="2" customWidth="1"/>
    <col min="259" max="259" width="11.125" style="2" customWidth="1"/>
    <col min="260" max="260" width="9" style="2"/>
    <col min="261" max="261" width="18.375" style="2" customWidth="1"/>
    <col min="262" max="513" width="9" style="2"/>
    <col min="514" max="514" width="19.25" style="2" customWidth="1"/>
    <col min="515" max="515" width="11.125" style="2" customWidth="1"/>
    <col min="516" max="516" width="9" style="2"/>
    <col min="517" max="517" width="18.375" style="2" customWidth="1"/>
    <col min="518" max="769" width="9" style="2"/>
    <col min="770" max="770" width="19.25" style="2" customWidth="1"/>
    <col min="771" max="771" width="11.125" style="2" customWidth="1"/>
    <col min="772" max="772" width="9" style="2"/>
    <col min="773" max="773" width="18.375" style="2" customWidth="1"/>
    <col min="774" max="1025" width="9" style="2"/>
    <col min="1026" max="1026" width="19.25" style="2" customWidth="1"/>
    <col min="1027" max="1027" width="11.125" style="2" customWidth="1"/>
    <col min="1028" max="1028" width="9" style="2"/>
    <col min="1029" max="1029" width="18.375" style="2" customWidth="1"/>
    <col min="1030" max="1281" width="9" style="2"/>
    <col min="1282" max="1282" width="19.25" style="2" customWidth="1"/>
    <col min="1283" max="1283" width="11.125" style="2" customWidth="1"/>
    <col min="1284" max="1284" width="9" style="2"/>
    <col min="1285" max="1285" width="18.375" style="2" customWidth="1"/>
    <col min="1286" max="1537" width="9" style="2"/>
    <col min="1538" max="1538" width="19.25" style="2" customWidth="1"/>
    <col min="1539" max="1539" width="11.125" style="2" customWidth="1"/>
    <col min="1540" max="1540" width="9" style="2"/>
    <col min="1541" max="1541" width="18.375" style="2" customWidth="1"/>
    <col min="1542" max="1793" width="9" style="2"/>
    <col min="1794" max="1794" width="19.25" style="2" customWidth="1"/>
    <col min="1795" max="1795" width="11.125" style="2" customWidth="1"/>
    <col min="1796" max="1796" width="9" style="2"/>
    <col min="1797" max="1797" width="18.375" style="2" customWidth="1"/>
    <col min="1798" max="2049" width="9" style="2"/>
    <col min="2050" max="2050" width="19.25" style="2" customWidth="1"/>
    <col min="2051" max="2051" width="11.125" style="2" customWidth="1"/>
    <col min="2052" max="2052" width="9" style="2"/>
    <col min="2053" max="2053" width="18.375" style="2" customWidth="1"/>
    <col min="2054" max="2305" width="9" style="2"/>
    <col min="2306" max="2306" width="19.25" style="2" customWidth="1"/>
    <col min="2307" max="2307" width="11.125" style="2" customWidth="1"/>
    <col min="2308" max="2308" width="9" style="2"/>
    <col min="2309" max="2309" width="18.375" style="2" customWidth="1"/>
    <col min="2310" max="2561" width="9" style="2"/>
    <col min="2562" max="2562" width="19.25" style="2" customWidth="1"/>
    <col min="2563" max="2563" width="11.125" style="2" customWidth="1"/>
    <col min="2564" max="2564" width="9" style="2"/>
    <col min="2565" max="2565" width="18.375" style="2" customWidth="1"/>
    <col min="2566" max="2817" width="9" style="2"/>
    <col min="2818" max="2818" width="19.25" style="2" customWidth="1"/>
    <col min="2819" max="2819" width="11.125" style="2" customWidth="1"/>
    <col min="2820" max="2820" width="9" style="2"/>
    <col min="2821" max="2821" width="18.375" style="2" customWidth="1"/>
    <col min="2822" max="3073" width="9" style="2"/>
    <col min="3074" max="3074" width="19.25" style="2" customWidth="1"/>
    <col min="3075" max="3075" width="11.125" style="2" customWidth="1"/>
    <col min="3076" max="3076" width="9" style="2"/>
    <col min="3077" max="3077" width="18.375" style="2" customWidth="1"/>
    <col min="3078" max="3329" width="9" style="2"/>
    <col min="3330" max="3330" width="19.25" style="2" customWidth="1"/>
    <col min="3331" max="3331" width="11.125" style="2" customWidth="1"/>
    <col min="3332" max="3332" width="9" style="2"/>
    <col min="3333" max="3333" width="18.375" style="2" customWidth="1"/>
    <col min="3334" max="3585" width="9" style="2"/>
    <col min="3586" max="3586" width="19.25" style="2" customWidth="1"/>
    <col min="3587" max="3587" width="11.125" style="2" customWidth="1"/>
    <col min="3588" max="3588" width="9" style="2"/>
    <col min="3589" max="3589" width="18.375" style="2" customWidth="1"/>
    <col min="3590" max="3841" width="9" style="2"/>
    <col min="3842" max="3842" width="19.25" style="2" customWidth="1"/>
    <col min="3843" max="3843" width="11.125" style="2" customWidth="1"/>
    <col min="3844" max="3844" width="9" style="2"/>
    <col min="3845" max="3845" width="18.375" style="2" customWidth="1"/>
    <col min="3846" max="4097" width="9" style="2"/>
    <col min="4098" max="4098" width="19.25" style="2" customWidth="1"/>
    <col min="4099" max="4099" width="11.125" style="2" customWidth="1"/>
    <col min="4100" max="4100" width="9" style="2"/>
    <col min="4101" max="4101" width="18.375" style="2" customWidth="1"/>
    <col min="4102" max="4353" width="9" style="2"/>
    <col min="4354" max="4354" width="19.25" style="2" customWidth="1"/>
    <col min="4355" max="4355" width="11.125" style="2" customWidth="1"/>
    <col min="4356" max="4356" width="9" style="2"/>
    <col min="4357" max="4357" width="18.375" style="2" customWidth="1"/>
    <col min="4358" max="4609" width="9" style="2"/>
    <col min="4610" max="4610" width="19.25" style="2" customWidth="1"/>
    <col min="4611" max="4611" width="11.125" style="2" customWidth="1"/>
    <col min="4612" max="4612" width="9" style="2"/>
    <col min="4613" max="4613" width="18.375" style="2" customWidth="1"/>
    <col min="4614" max="4865" width="9" style="2"/>
    <col min="4866" max="4866" width="19.25" style="2" customWidth="1"/>
    <col min="4867" max="4867" width="11.125" style="2" customWidth="1"/>
    <col min="4868" max="4868" width="9" style="2"/>
    <col min="4869" max="4869" width="18.375" style="2" customWidth="1"/>
    <col min="4870" max="5121" width="9" style="2"/>
    <col min="5122" max="5122" width="19.25" style="2" customWidth="1"/>
    <col min="5123" max="5123" width="11.125" style="2" customWidth="1"/>
    <col min="5124" max="5124" width="9" style="2"/>
    <col min="5125" max="5125" width="18.375" style="2" customWidth="1"/>
    <col min="5126" max="5377" width="9" style="2"/>
    <col min="5378" max="5378" width="19.25" style="2" customWidth="1"/>
    <col min="5379" max="5379" width="11.125" style="2" customWidth="1"/>
    <col min="5380" max="5380" width="9" style="2"/>
    <col min="5381" max="5381" width="18.375" style="2" customWidth="1"/>
    <col min="5382" max="5633" width="9" style="2"/>
    <col min="5634" max="5634" width="19.25" style="2" customWidth="1"/>
    <col min="5635" max="5635" width="11.125" style="2" customWidth="1"/>
    <col min="5636" max="5636" width="9" style="2"/>
    <col min="5637" max="5637" width="18.375" style="2" customWidth="1"/>
    <col min="5638" max="5889" width="9" style="2"/>
    <col min="5890" max="5890" width="19.25" style="2" customWidth="1"/>
    <col min="5891" max="5891" width="11.125" style="2" customWidth="1"/>
    <col min="5892" max="5892" width="9" style="2"/>
    <col min="5893" max="5893" width="18.375" style="2" customWidth="1"/>
    <col min="5894" max="6145" width="9" style="2"/>
    <col min="6146" max="6146" width="19.25" style="2" customWidth="1"/>
    <col min="6147" max="6147" width="11.125" style="2" customWidth="1"/>
    <col min="6148" max="6148" width="9" style="2"/>
    <col min="6149" max="6149" width="18.375" style="2" customWidth="1"/>
    <col min="6150" max="6401" width="9" style="2"/>
    <col min="6402" max="6402" width="19.25" style="2" customWidth="1"/>
    <col min="6403" max="6403" width="11.125" style="2" customWidth="1"/>
    <col min="6404" max="6404" width="9" style="2"/>
    <col min="6405" max="6405" width="18.375" style="2" customWidth="1"/>
    <col min="6406" max="6657" width="9" style="2"/>
    <col min="6658" max="6658" width="19.25" style="2" customWidth="1"/>
    <col min="6659" max="6659" width="11.125" style="2" customWidth="1"/>
    <col min="6660" max="6660" width="9" style="2"/>
    <col min="6661" max="6661" width="18.375" style="2" customWidth="1"/>
    <col min="6662" max="6913" width="9" style="2"/>
    <col min="6914" max="6914" width="19.25" style="2" customWidth="1"/>
    <col min="6915" max="6915" width="11.125" style="2" customWidth="1"/>
    <col min="6916" max="6916" width="9" style="2"/>
    <col min="6917" max="6917" width="18.375" style="2" customWidth="1"/>
    <col min="6918" max="7169" width="9" style="2"/>
    <col min="7170" max="7170" width="19.25" style="2" customWidth="1"/>
    <col min="7171" max="7171" width="11.125" style="2" customWidth="1"/>
    <col min="7172" max="7172" width="9" style="2"/>
    <col min="7173" max="7173" width="18.375" style="2" customWidth="1"/>
    <col min="7174" max="7425" width="9" style="2"/>
    <col min="7426" max="7426" width="19.25" style="2" customWidth="1"/>
    <col min="7427" max="7427" width="11.125" style="2" customWidth="1"/>
    <col min="7428" max="7428" width="9" style="2"/>
    <col min="7429" max="7429" width="18.375" style="2" customWidth="1"/>
    <col min="7430" max="7681" width="9" style="2"/>
    <col min="7682" max="7682" width="19.25" style="2" customWidth="1"/>
    <col min="7683" max="7683" width="11.125" style="2" customWidth="1"/>
    <col min="7684" max="7684" width="9" style="2"/>
    <col min="7685" max="7685" width="18.375" style="2" customWidth="1"/>
    <col min="7686" max="7937" width="9" style="2"/>
    <col min="7938" max="7938" width="19.25" style="2" customWidth="1"/>
    <col min="7939" max="7939" width="11.125" style="2" customWidth="1"/>
    <col min="7940" max="7940" width="9" style="2"/>
    <col min="7941" max="7941" width="18.375" style="2" customWidth="1"/>
    <col min="7942" max="8193" width="9" style="2"/>
    <col min="8194" max="8194" width="19.25" style="2" customWidth="1"/>
    <col min="8195" max="8195" width="11.125" style="2" customWidth="1"/>
    <col min="8196" max="8196" width="9" style="2"/>
    <col min="8197" max="8197" width="18.375" style="2" customWidth="1"/>
    <col min="8198" max="8449" width="9" style="2"/>
    <col min="8450" max="8450" width="19.25" style="2" customWidth="1"/>
    <col min="8451" max="8451" width="11.125" style="2" customWidth="1"/>
    <col min="8452" max="8452" width="9" style="2"/>
    <col min="8453" max="8453" width="18.375" style="2" customWidth="1"/>
    <col min="8454" max="8705" width="9" style="2"/>
    <col min="8706" max="8706" width="19.25" style="2" customWidth="1"/>
    <col min="8707" max="8707" width="11.125" style="2" customWidth="1"/>
    <col min="8708" max="8708" width="9" style="2"/>
    <col min="8709" max="8709" width="18.375" style="2" customWidth="1"/>
    <col min="8710" max="8961" width="9" style="2"/>
    <col min="8962" max="8962" width="19.25" style="2" customWidth="1"/>
    <col min="8963" max="8963" width="11.125" style="2" customWidth="1"/>
    <col min="8964" max="8964" width="9" style="2"/>
    <col min="8965" max="8965" width="18.375" style="2" customWidth="1"/>
    <col min="8966" max="9217" width="9" style="2"/>
    <col min="9218" max="9218" width="19.25" style="2" customWidth="1"/>
    <col min="9219" max="9219" width="11.125" style="2" customWidth="1"/>
    <col min="9220" max="9220" width="9" style="2"/>
    <col min="9221" max="9221" width="18.375" style="2" customWidth="1"/>
    <col min="9222" max="9473" width="9" style="2"/>
    <col min="9474" max="9474" width="19.25" style="2" customWidth="1"/>
    <col min="9475" max="9475" width="11.125" style="2" customWidth="1"/>
    <col min="9476" max="9476" width="9" style="2"/>
    <col min="9477" max="9477" width="18.375" style="2" customWidth="1"/>
    <col min="9478" max="9729" width="9" style="2"/>
    <col min="9730" max="9730" width="19.25" style="2" customWidth="1"/>
    <col min="9731" max="9731" width="11.125" style="2" customWidth="1"/>
    <col min="9732" max="9732" width="9" style="2"/>
    <col min="9733" max="9733" width="18.375" style="2" customWidth="1"/>
    <col min="9734" max="9985" width="9" style="2"/>
    <col min="9986" max="9986" width="19.25" style="2" customWidth="1"/>
    <col min="9987" max="9987" width="11.125" style="2" customWidth="1"/>
    <col min="9988" max="9988" width="9" style="2"/>
    <col min="9989" max="9989" width="18.375" style="2" customWidth="1"/>
    <col min="9990" max="10241" width="9" style="2"/>
    <col min="10242" max="10242" width="19.25" style="2" customWidth="1"/>
    <col min="10243" max="10243" width="11.125" style="2" customWidth="1"/>
    <col min="10244" max="10244" width="9" style="2"/>
    <col min="10245" max="10245" width="18.375" style="2" customWidth="1"/>
    <col min="10246" max="10497" width="9" style="2"/>
    <col min="10498" max="10498" width="19.25" style="2" customWidth="1"/>
    <col min="10499" max="10499" width="11.125" style="2" customWidth="1"/>
    <col min="10500" max="10500" width="9" style="2"/>
    <col min="10501" max="10501" width="18.375" style="2" customWidth="1"/>
    <col min="10502" max="10753" width="9" style="2"/>
    <col min="10754" max="10754" width="19.25" style="2" customWidth="1"/>
    <col min="10755" max="10755" width="11.125" style="2" customWidth="1"/>
    <col min="10756" max="10756" width="9" style="2"/>
    <col min="10757" max="10757" width="18.375" style="2" customWidth="1"/>
    <col min="10758" max="11009" width="9" style="2"/>
    <col min="11010" max="11010" width="19.25" style="2" customWidth="1"/>
    <col min="11011" max="11011" width="11.125" style="2" customWidth="1"/>
    <col min="11012" max="11012" width="9" style="2"/>
    <col min="11013" max="11013" width="18.375" style="2" customWidth="1"/>
    <col min="11014" max="11265" width="9" style="2"/>
    <col min="11266" max="11266" width="19.25" style="2" customWidth="1"/>
    <col min="11267" max="11267" width="11.125" style="2" customWidth="1"/>
    <col min="11268" max="11268" width="9" style="2"/>
    <col min="11269" max="11269" width="18.375" style="2" customWidth="1"/>
    <col min="11270" max="11521" width="9" style="2"/>
    <col min="11522" max="11522" width="19.25" style="2" customWidth="1"/>
    <col min="11523" max="11523" width="11.125" style="2" customWidth="1"/>
    <col min="11524" max="11524" width="9" style="2"/>
    <col min="11525" max="11525" width="18.375" style="2" customWidth="1"/>
    <col min="11526" max="11777" width="9" style="2"/>
    <col min="11778" max="11778" width="19.25" style="2" customWidth="1"/>
    <col min="11779" max="11779" width="11.125" style="2" customWidth="1"/>
    <col min="11780" max="11780" width="9" style="2"/>
    <col min="11781" max="11781" width="18.375" style="2" customWidth="1"/>
    <col min="11782" max="12033" width="9" style="2"/>
    <col min="12034" max="12034" width="19.25" style="2" customWidth="1"/>
    <col min="12035" max="12035" width="11.125" style="2" customWidth="1"/>
    <col min="12036" max="12036" width="9" style="2"/>
    <col min="12037" max="12037" width="18.375" style="2" customWidth="1"/>
    <col min="12038" max="12289" width="9" style="2"/>
    <col min="12290" max="12290" width="19.25" style="2" customWidth="1"/>
    <col min="12291" max="12291" width="11.125" style="2" customWidth="1"/>
    <col min="12292" max="12292" width="9" style="2"/>
    <col min="12293" max="12293" width="18.375" style="2" customWidth="1"/>
    <col min="12294" max="12545" width="9" style="2"/>
    <col min="12546" max="12546" width="19.25" style="2" customWidth="1"/>
    <col min="12547" max="12547" width="11.125" style="2" customWidth="1"/>
    <col min="12548" max="12548" width="9" style="2"/>
    <col min="12549" max="12549" width="18.375" style="2" customWidth="1"/>
    <col min="12550" max="12801" width="9" style="2"/>
    <col min="12802" max="12802" width="19.25" style="2" customWidth="1"/>
    <col min="12803" max="12803" width="11.125" style="2" customWidth="1"/>
    <col min="12804" max="12804" width="9" style="2"/>
    <col min="12805" max="12805" width="18.375" style="2" customWidth="1"/>
    <col min="12806" max="13057" width="9" style="2"/>
    <col min="13058" max="13058" width="19.25" style="2" customWidth="1"/>
    <col min="13059" max="13059" width="11.125" style="2" customWidth="1"/>
    <col min="13060" max="13060" width="9" style="2"/>
    <col min="13061" max="13061" width="18.375" style="2" customWidth="1"/>
    <col min="13062" max="13313" width="9" style="2"/>
    <col min="13314" max="13314" width="19.25" style="2" customWidth="1"/>
    <col min="13315" max="13315" width="11.125" style="2" customWidth="1"/>
    <col min="13316" max="13316" width="9" style="2"/>
    <col min="13317" max="13317" width="18.375" style="2" customWidth="1"/>
    <col min="13318" max="13569" width="9" style="2"/>
    <col min="13570" max="13570" width="19.25" style="2" customWidth="1"/>
    <col min="13571" max="13571" width="11.125" style="2" customWidth="1"/>
    <col min="13572" max="13572" width="9" style="2"/>
    <col min="13573" max="13573" width="18.375" style="2" customWidth="1"/>
    <col min="13574" max="13825" width="9" style="2"/>
    <col min="13826" max="13826" width="19.25" style="2" customWidth="1"/>
    <col min="13827" max="13827" width="11.125" style="2" customWidth="1"/>
    <col min="13828" max="13828" width="9" style="2"/>
    <col min="13829" max="13829" width="18.375" style="2" customWidth="1"/>
    <col min="13830" max="14081" width="9" style="2"/>
    <col min="14082" max="14082" width="19.25" style="2" customWidth="1"/>
    <col min="14083" max="14083" width="11.125" style="2" customWidth="1"/>
    <col min="14084" max="14084" width="9" style="2"/>
    <col min="14085" max="14085" width="18.375" style="2" customWidth="1"/>
    <col min="14086" max="14337" width="9" style="2"/>
    <col min="14338" max="14338" width="19.25" style="2" customWidth="1"/>
    <col min="14339" max="14339" width="11.125" style="2" customWidth="1"/>
    <col min="14340" max="14340" width="9" style="2"/>
    <col min="14341" max="14341" width="18.375" style="2" customWidth="1"/>
    <col min="14342" max="14593" width="9" style="2"/>
    <col min="14594" max="14594" width="19.25" style="2" customWidth="1"/>
    <col min="14595" max="14595" width="11.125" style="2" customWidth="1"/>
    <col min="14596" max="14596" width="9" style="2"/>
    <col min="14597" max="14597" width="18.375" style="2" customWidth="1"/>
    <col min="14598" max="14849" width="9" style="2"/>
    <col min="14850" max="14850" width="19.25" style="2" customWidth="1"/>
    <col min="14851" max="14851" width="11.125" style="2" customWidth="1"/>
    <col min="14852" max="14852" width="9" style="2"/>
    <col min="14853" max="14853" width="18.375" style="2" customWidth="1"/>
    <col min="14854" max="15105" width="9" style="2"/>
    <col min="15106" max="15106" width="19.25" style="2" customWidth="1"/>
    <col min="15107" max="15107" width="11.125" style="2" customWidth="1"/>
    <col min="15108" max="15108" width="9" style="2"/>
    <col min="15109" max="15109" width="18.375" style="2" customWidth="1"/>
    <col min="15110" max="15361" width="9" style="2"/>
    <col min="15362" max="15362" width="19.25" style="2" customWidth="1"/>
    <col min="15363" max="15363" width="11.125" style="2" customWidth="1"/>
    <col min="15364" max="15364" width="9" style="2"/>
    <col min="15365" max="15365" width="18.375" style="2" customWidth="1"/>
    <col min="15366" max="15617" width="9" style="2"/>
    <col min="15618" max="15618" width="19.25" style="2" customWidth="1"/>
    <col min="15619" max="15619" width="11.125" style="2" customWidth="1"/>
    <col min="15620" max="15620" width="9" style="2"/>
    <col min="15621" max="15621" width="18.375" style="2" customWidth="1"/>
    <col min="15622" max="15873" width="9" style="2"/>
    <col min="15874" max="15874" width="19.25" style="2" customWidth="1"/>
    <col min="15875" max="15875" width="11.125" style="2" customWidth="1"/>
    <col min="15876" max="15876" width="9" style="2"/>
    <col min="15877" max="15877" width="18.375" style="2" customWidth="1"/>
    <col min="15878" max="16129" width="9" style="2"/>
    <col min="16130" max="16130" width="19.25" style="2" customWidth="1"/>
    <col min="16131" max="16131" width="11.125" style="2" customWidth="1"/>
    <col min="16132" max="16132" width="9" style="2"/>
    <col min="16133" max="16133" width="18.375" style="2" customWidth="1"/>
    <col min="16134" max="16384" width="9" style="2"/>
  </cols>
  <sheetData>
    <row r="1" spans="1:6" x14ac:dyDescent="0.15">
      <c r="D1" s="2" t="s">
        <v>219</v>
      </c>
    </row>
    <row r="2" spans="1:6" x14ac:dyDescent="0.15">
      <c r="A2" s="3" t="s">
        <v>220</v>
      </c>
      <c r="B2" s="4" t="s">
        <v>27</v>
      </c>
      <c r="C2" s="4" t="s">
        <v>28</v>
      </c>
      <c r="D2" s="4" t="s">
        <v>221</v>
      </c>
      <c r="E2" s="4" t="s">
        <v>222</v>
      </c>
    </row>
    <row r="3" spans="1:6" x14ac:dyDescent="0.15">
      <c r="A3" s="3" t="s">
        <v>223</v>
      </c>
      <c r="B3" s="4"/>
      <c r="C3" s="4"/>
      <c r="D3" s="4"/>
      <c r="E3" s="4"/>
    </row>
    <row r="4" spans="1:6" x14ac:dyDescent="0.15">
      <c r="A4" s="3" t="s">
        <v>224</v>
      </c>
      <c r="B4" s="4"/>
      <c r="C4" s="4" t="s">
        <v>78</v>
      </c>
      <c r="D4" s="5">
        <v>0</v>
      </c>
      <c r="E4" s="4">
        <v>1.2</v>
      </c>
    </row>
    <row r="5" spans="1:6" x14ac:dyDescent="0.15">
      <c r="A5" s="3" t="s">
        <v>87</v>
      </c>
      <c r="B5" s="4"/>
      <c r="C5" s="4" t="s">
        <v>78</v>
      </c>
      <c r="D5" s="4">
        <f>2*20</f>
        <v>40</v>
      </c>
      <c r="E5" s="4">
        <v>1.2</v>
      </c>
    </row>
    <row r="6" spans="1:6" x14ac:dyDescent="0.15">
      <c r="A6" s="3" t="s">
        <v>225</v>
      </c>
      <c r="B6" s="4"/>
      <c r="C6" s="4" t="s">
        <v>78</v>
      </c>
      <c r="D6" s="4"/>
      <c r="E6" s="4">
        <v>1</v>
      </c>
    </row>
    <row r="7" spans="1:6" x14ac:dyDescent="0.15">
      <c r="A7" s="3" t="s">
        <v>226</v>
      </c>
      <c r="B7" s="4"/>
      <c r="C7" s="4"/>
      <c r="D7" s="4"/>
      <c r="E7" s="4"/>
    </row>
    <row r="8" spans="1:6" x14ac:dyDescent="0.15">
      <c r="A8" s="6" t="s">
        <v>227</v>
      </c>
      <c r="B8" s="4"/>
      <c r="C8" s="4"/>
      <c r="D8" s="4"/>
      <c r="E8" s="4"/>
    </row>
    <row r="9" spans="1:6" x14ac:dyDescent="0.15">
      <c r="A9" s="3" t="s">
        <v>228</v>
      </c>
      <c r="B9" s="4"/>
      <c r="C9" s="4" t="s">
        <v>78</v>
      </c>
      <c r="D9" s="5">
        <f>10.5/3</f>
        <v>3.5</v>
      </c>
      <c r="E9" s="4">
        <v>1.4</v>
      </c>
    </row>
    <row r="10" spans="1:6" x14ac:dyDescent="0.15">
      <c r="A10" s="3" t="s">
        <v>229</v>
      </c>
      <c r="B10" s="4"/>
      <c r="C10" s="4" t="s">
        <v>92</v>
      </c>
      <c r="D10" s="5">
        <f>180/3</f>
        <v>60</v>
      </c>
      <c r="E10" s="4">
        <v>1.4</v>
      </c>
    </row>
    <row r="11" spans="1:6" x14ac:dyDescent="0.15">
      <c r="A11" s="3" t="s">
        <v>230</v>
      </c>
      <c r="B11" s="4"/>
      <c r="C11" s="4" t="s">
        <v>78</v>
      </c>
      <c r="D11" s="5">
        <f>(140*2+120*2+30)/3</f>
        <v>183.333333333333</v>
      </c>
      <c r="E11" s="4">
        <v>1.4</v>
      </c>
    </row>
    <row r="12" spans="1:6" x14ac:dyDescent="0.15">
      <c r="A12" s="6" t="s">
        <v>231</v>
      </c>
      <c r="B12" s="4"/>
      <c r="C12" s="4"/>
      <c r="D12" s="4"/>
      <c r="E12" s="4"/>
      <c r="F12" s="4"/>
    </row>
    <row r="13" spans="1:6" x14ac:dyDescent="0.15">
      <c r="A13" s="3" t="s">
        <v>232</v>
      </c>
      <c r="C13" s="4" t="s">
        <v>78</v>
      </c>
      <c r="D13" s="4">
        <f>0.45*D9</f>
        <v>1.575</v>
      </c>
      <c r="E13" s="4">
        <v>1.4</v>
      </c>
    </row>
    <row r="14" spans="1:6" x14ac:dyDescent="0.15">
      <c r="A14" s="3" t="s">
        <v>233</v>
      </c>
      <c r="C14" s="4" t="s">
        <v>92</v>
      </c>
      <c r="D14" s="4">
        <f>D10*0.45</f>
        <v>27</v>
      </c>
      <c r="E14" s="4">
        <v>1.4</v>
      </c>
    </row>
    <row r="15" spans="1:6" x14ac:dyDescent="0.15">
      <c r="A15" s="3" t="s">
        <v>234</v>
      </c>
      <c r="C15" s="4" t="s">
        <v>78</v>
      </c>
      <c r="D15" s="4">
        <f>D11*1.3</f>
        <v>238.333333333333</v>
      </c>
      <c r="E15" s="4">
        <v>1.4</v>
      </c>
      <c r="F15" s="2" t="s">
        <v>235</v>
      </c>
    </row>
    <row r="16" spans="1:6" x14ac:dyDescent="0.15">
      <c r="A16" s="6" t="s">
        <v>236</v>
      </c>
      <c r="B16" s="4"/>
      <c r="C16" s="4"/>
      <c r="D16" s="4"/>
      <c r="E16" s="4">
        <v>1.4</v>
      </c>
    </row>
    <row r="17" spans="1:5" x14ac:dyDescent="0.15">
      <c r="A17" s="3" t="s">
        <v>237</v>
      </c>
      <c r="B17" s="4"/>
      <c r="C17" s="4" t="s">
        <v>238</v>
      </c>
      <c r="D17" s="5">
        <v>3</v>
      </c>
      <c r="E17" s="4">
        <v>1.4</v>
      </c>
    </row>
    <row r="18" spans="1:5" x14ac:dyDescent="0.15">
      <c r="A18" s="3" t="s">
        <v>239</v>
      </c>
      <c r="B18" s="4"/>
      <c r="C18" s="4" t="s">
        <v>78</v>
      </c>
      <c r="D18" s="4"/>
      <c r="E18" s="4">
        <v>1.4</v>
      </c>
    </row>
    <row r="19" spans="1:5" x14ac:dyDescent="0.15">
      <c r="A19" s="3" t="s">
        <v>240</v>
      </c>
      <c r="B19" s="4"/>
      <c r="C19" s="4" t="s">
        <v>78</v>
      </c>
      <c r="D19" s="4"/>
      <c r="E19" s="4">
        <v>1.4</v>
      </c>
    </row>
    <row r="20" spans="1:5" x14ac:dyDescent="0.15">
      <c r="A20" s="3" t="s">
        <v>241</v>
      </c>
      <c r="B20" s="4"/>
      <c r="C20" s="4"/>
      <c r="D20" s="4"/>
      <c r="E20" s="4"/>
    </row>
    <row r="21" spans="1:5" x14ac:dyDescent="0.15">
      <c r="A21" s="3" t="s">
        <v>242</v>
      </c>
      <c r="B21" s="4"/>
      <c r="C21" s="4" t="s">
        <v>78</v>
      </c>
      <c r="D21" s="4"/>
      <c r="E21" s="4">
        <v>1.4</v>
      </c>
    </row>
    <row r="22" spans="1:5" x14ac:dyDescent="0.15">
      <c r="A22" s="3" t="s">
        <v>243</v>
      </c>
      <c r="B22" s="4"/>
      <c r="C22" s="4" t="s">
        <v>78</v>
      </c>
      <c r="D22" s="4"/>
      <c r="E22" s="4">
        <v>1.4</v>
      </c>
    </row>
    <row r="23" spans="1:5" x14ac:dyDescent="0.15">
      <c r="A23" s="3" t="s">
        <v>244</v>
      </c>
      <c r="B23" s="4"/>
      <c r="C23" s="4"/>
      <c r="D23" s="4"/>
      <c r="E23" s="4"/>
    </row>
    <row r="24" spans="1:5" x14ac:dyDescent="0.15">
      <c r="A24" s="3" t="s">
        <v>245</v>
      </c>
      <c r="B24" s="4"/>
      <c r="C24" s="4" t="s">
        <v>95</v>
      </c>
      <c r="D24" s="5">
        <f>13.7</f>
        <v>13.7</v>
      </c>
      <c r="E24" s="4"/>
    </row>
    <row r="25" spans="1:5" x14ac:dyDescent="0.15">
      <c r="A25" s="3" t="s">
        <v>246</v>
      </c>
      <c r="B25" s="4"/>
      <c r="C25" s="4" t="s">
        <v>78</v>
      </c>
      <c r="D25" s="4">
        <f>E4*D4+E9*D9*D24+E10*D10*2+E13*D13+E14*D14*2+E17*D17</f>
        <v>317.13499999999999</v>
      </c>
      <c r="E25" s="4"/>
    </row>
    <row r="26" spans="1:5" x14ac:dyDescent="0.15">
      <c r="A26" s="3" t="s">
        <v>247</v>
      </c>
      <c r="B26" s="4"/>
      <c r="C26" s="4" t="s">
        <v>78</v>
      </c>
      <c r="D26" s="4">
        <f>E4*D4+E11*D11+E15*D15+E17*D17</f>
        <v>594.53333333333296</v>
      </c>
      <c r="E26" s="4"/>
    </row>
    <row r="28" spans="1:5" x14ac:dyDescent="0.15">
      <c r="A28" s="6" t="s">
        <v>248</v>
      </c>
      <c r="B28" s="4"/>
      <c r="C28" s="4"/>
      <c r="D28" s="4"/>
      <c r="E28" s="4"/>
    </row>
    <row r="29" spans="1:5" x14ac:dyDescent="0.15">
      <c r="A29" s="3" t="s">
        <v>246</v>
      </c>
      <c r="B29" s="4"/>
      <c r="C29" s="4" t="s">
        <v>78</v>
      </c>
      <c r="D29" s="4">
        <f>D25/D24</f>
        <v>23.1485401459854</v>
      </c>
      <c r="E29" s="4"/>
    </row>
    <row r="30" spans="1:5" x14ac:dyDescent="0.15">
      <c r="A30" s="3" t="s">
        <v>247</v>
      </c>
      <c r="B30" s="4"/>
      <c r="C30" s="4"/>
      <c r="D30" s="4">
        <f>D26/D24</f>
        <v>43.396593673965903</v>
      </c>
      <c r="E30" s="4"/>
    </row>
    <row r="31" spans="1:5" x14ac:dyDescent="0.15">
      <c r="A31" s="3" t="s">
        <v>249</v>
      </c>
      <c r="B31" s="4"/>
      <c r="C31" s="4" t="s">
        <v>78</v>
      </c>
      <c r="D31" s="4">
        <v>1.2</v>
      </c>
      <c r="E31" s="4"/>
    </row>
    <row r="32" spans="1:5" x14ac:dyDescent="0.15">
      <c r="A32" s="3"/>
      <c r="B32" s="4"/>
      <c r="C32" s="4" t="s">
        <v>78</v>
      </c>
      <c r="D32" s="4">
        <f>MAX(D29,D30)*D31</f>
        <v>52.075912408759102</v>
      </c>
      <c r="E32" s="4"/>
    </row>
    <row r="33" spans="1:6" x14ac:dyDescent="0.15">
      <c r="A33" s="3"/>
      <c r="B33" s="4"/>
      <c r="C33" s="4"/>
      <c r="D33" s="4"/>
      <c r="E33" s="4"/>
      <c r="F33" s="4"/>
    </row>
    <row r="35" spans="1:6" x14ac:dyDescent="0.15">
      <c r="A35" s="3" t="s">
        <v>250</v>
      </c>
      <c r="B35" s="4"/>
      <c r="C35" s="4"/>
      <c r="D35" s="5">
        <f>(70+0.45*70)</f>
        <v>101.5</v>
      </c>
    </row>
    <row r="36" spans="1:6" x14ac:dyDescent="0.15">
      <c r="A36" s="3" t="s">
        <v>251</v>
      </c>
      <c r="D36" s="5">
        <v>1.0900000000000001</v>
      </c>
    </row>
    <row r="37" spans="1:6" x14ac:dyDescent="0.15">
      <c r="A37" s="3" t="s">
        <v>252</v>
      </c>
      <c r="D37" s="5">
        <v>0.69</v>
      </c>
    </row>
    <row r="38" spans="1:6" x14ac:dyDescent="0.15">
      <c r="A38" s="3" t="s">
        <v>253</v>
      </c>
      <c r="B38" s="4"/>
      <c r="C38" s="4"/>
      <c r="D38" s="4">
        <f>D35/D36/D37</f>
        <v>134.95545805079101</v>
      </c>
    </row>
    <row r="39" spans="1:6" x14ac:dyDescent="0.15">
      <c r="A39" s="3"/>
      <c r="B39" s="4"/>
      <c r="C39" s="4"/>
      <c r="D39" s="4"/>
    </row>
    <row r="40" spans="1:6" x14ac:dyDescent="0.15">
      <c r="A40" s="3" t="s">
        <v>254</v>
      </c>
      <c r="B40" s="4" t="s">
        <v>255</v>
      </c>
      <c r="C40" s="4"/>
      <c r="D40" s="4">
        <f>COS(D44-D41)^2/(COS(D41)^2*COS(D41+D43)*(1+SQRT(SIN(D44+D43)*SIN(D44-D42)/COS(D41+D43)/COS(D41-D42)))^2)</f>
        <v>0.32637953400147202</v>
      </c>
    </row>
    <row r="41" spans="1:6" x14ac:dyDescent="0.15">
      <c r="A41" s="3" t="s">
        <v>256</v>
      </c>
      <c r="B41" s="4" t="s">
        <v>257</v>
      </c>
      <c r="C41" s="4"/>
      <c r="D41" s="5">
        <v>0</v>
      </c>
    </row>
    <row r="42" spans="1:6" x14ac:dyDescent="0.15">
      <c r="A42" s="3" t="s">
        <v>258</v>
      </c>
      <c r="B42" s="4" t="s">
        <v>259</v>
      </c>
      <c r="C42" s="4"/>
      <c r="D42" s="5">
        <v>0</v>
      </c>
    </row>
    <row r="43" spans="1:6" x14ac:dyDescent="0.15">
      <c r="A43" s="3" t="s">
        <v>260</v>
      </c>
      <c r="B43" s="4" t="s">
        <v>261</v>
      </c>
      <c r="C43" s="4"/>
      <c r="D43" s="4">
        <f>D44/2</f>
        <v>0.244346095279206</v>
      </c>
    </row>
    <row r="44" spans="1:6" x14ac:dyDescent="0.15">
      <c r="A44" s="3" t="s">
        <v>262</v>
      </c>
      <c r="B44" s="4" t="s">
        <v>57</v>
      </c>
      <c r="C44" s="4"/>
      <c r="D44" s="5">
        <f>RADIANS(28)</f>
        <v>0.48869219055841201</v>
      </c>
    </row>
    <row r="45" spans="1:6" x14ac:dyDescent="0.15">
      <c r="A45" s="3" t="s">
        <v>263</v>
      </c>
      <c r="B45" s="4"/>
      <c r="C45" s="4"/>
      <c r="D45" s="4">
        <f>TAN(RADIANS(45-28/2))^2</f>
        <v>0.36103348349818298</v>
      </c>
    </row>
    <row r="46" spans="1:6" x14ac:dyDescent="0.15">
      <c r="A46" s="3" t="s">
        <v>264</v>
      </c>
      <c r="B46" s="4" t="s">
        <v>265</v>
      </c>
      <c r="C46" s="4"/>
      <c r="D46" s="5">
        <v>5.0999999999999996</v>
      </c>
    </row>
  </sheetData>
  <phoneticPr fontId="13" type="noConversion"/>
  <pageMargins left="0.75" right="0.75" top="1" bottom="1" header="0.5" footer="0.5"/>
  <pageSetup paperSize="9" orientation="portrait"/>
  <headerFooter alignWithMargins="0"/>
  <drawing r:id="rId1"/>
  <legacyDrawing r:id="rId2"/>
  <oleObjects>
    <mc:AlternateContent xmlns:mc="http://schemas.openxmlformats.org/markup-compatibility/2006">
      <mc:Choice Requires="x14">
        <oleObject progId="AutoCAD.Drawing.16" shapeId="1025" r:id="rId3">
          <objectPr defaultSize="0" altText="" r:id="rId4">
            <anchor moveWithCells="1">
              <from>
                <xdr:col>5</xdr:col>
                <xdr:colOff>190500</xdr:colOff>
                <xdr:row>16</xdr:row>
                <xdr:rowOff>9525</xdr:rowOff>
              </from>
              <to>
                <xdr:col>13</xdr:col>
                <xdr:colOff>523875</xdr:colOff>
                <xdr:row>47</xdr:row>
                <xdr:rowOff>142875</xdr:rowOff>
              </to>
            </anchor>
          </objectPr>
        </oleObject>
      </mc:Choice>
      <mc:Fallback>
        <oleObject progId="AutoCAD.Drawing.16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2</vt:i4>
      </vt:variant>
    </vt:vector>
  </HeadingPairs>
  <TitlesOfParts>
    <vt:vector size="8" baseType="lpstr">
      <vt:lpstr>0.封面</vt:lpstr>
      <vt:lpstr>1.荷载计算</vt:lpstr>
      <vt:lpstr>2.1.结构计算(承载)</vt:lpstr>
      <vt:lpstr>2.2.结构计算(正常) </vt:lpstr>
      <vt:lpstr>KS值表</vt:lpstr>
      <vt:lpstr>车道荷载</vt:lpstr>
      <vt:lpstr>'0.封面'!Print_Area</vt:lpstr>
      <vt:lpstr>'1.荷载计算'!Print_Area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xc qin</cp:lastModifiedBy>
  <dcterms:created xsi:type="dcterms:W3CDTF">2022-03-31T13:16:00Z</dcterms:created>
  <dcterms:modified xsi:type="dcterms:W3CDTF">2026-08-16T05:23:42Z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CB1C774CE3264E8899627CE1F8E1FECF_13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